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wilbej\Desktop\SECRETARIA DE CULTURA RECREACION Y DEPORTE\activos de informacion\2023\"/>
    </mc:Choice>
  </mc:AlternateContent>
  <xr:revisionPtr revIDLastSave="0" documentId="13_ncr:1_{99AAF19D-4884-4F75-B682-751CB37970D7}" xr6:coauthVersionLast="47" xr6:coauthVersionMax="47" xr10:uidLastSave="{00000000-0000-0000-0000-000000000000}"/>
  <bookViews>
    <workbookView xWindow="28680" yWindow="-120" windowWidth="29040" windowHeight="17640" tabRatio="882" activeTab="7"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Hoja2" sheetId="22" r:id="rId8"/>
    <sheet name="Procesos" sheetId="21" state="hidden" r:id="rId9"/>
    <sheet name="Opciones Tratamiento" sheetId="16" state="hidden" r:id="rId10"/>
    <sheet name="Hoja1" sheetId="11" state="hidden" r:id="rId11"/>
  </sheets>
  <calcPr calcId="191029"/>
  <pivotCaches>
    <pivotCache cacheId="6" r:id="rId12"/>
    <pivotCache cacheId="7" r:id="rId13"/>
  </pivotCaches>
</workbook>
</file>

<file path=xl/calcChain.xml><?xml version="1.0" encoding="utf-8"?>
<calcChain xmlns="http://schemas.openxmlformats.org/spreadsheetml/2006/main">
  <c r="T12" i="1" l="1"/>
  <c r="T13" i="1"/>
  <c r="T14" i="1"/>
  <c r="T15" i="1"/>
  <c r="T16" i="1"/>
  <c r="T17" i="1"/>
  <c r="T18" i="1"/>
  <c r="T19" i="1"/>
  <c r="T20" i="1"/>
  <c r="T21" i="1"/>
  <c r="T22"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11" i="1"/>
  <c r="K11" i="1" l="1"/>
  <c r="G26" i="21"/>
  <c r="W11" i="1" l="1"/>
  <c r="L11" i="1"/>
  <c r="N64" i="1"/>
  <c r="N38" i="1"/>
  <c r="N32" i="1"/>
  <c r="N40" i="1"/>
  <c r="N24" i="1"/>
  <c r="N62" i="1"/>
  <c r="N18" i="1"/>
  <c r="N31" i="1"/>
  <c r="N57" i="1"/>
  <c r="N70" i="1"/>
  <c r="N69" i="1"/>
  <c r="N45" i="1"/>
  <c r="N68" i="1"/>
  <c r="N49" i="1"/>
  <c r="N44" i="1"/>
  <c r="N27" i="1"/>
  <c r="N34" i="1"/>
  <c r="N26" i="1"/>
  <c r="N58" i="1"/>
  <c r="N22" i="1"/>
  <c r="N63" i="1"/>
  <c r="N25" i="1"/>
  <c r="N19" i="1"/>
  <c r="N30" i="1"/>
  <c r="N33" i="1"/>
  <c r="N48" i="1"/>
  <c r="N67" i="1"/>
  <c r="N55" i="1"/>
  <c r="N56" i="1"/>
  <c r="N54" i="1"/>
  <c r="N51" i="1"/>
  <c r="N52" i="1"/>
  <c r="N66" i="1"/>
  <c r="N60" i="1"/>
  <c r="N61" i="1"/>
  <c r="N37" i="1"/>
  <c r="N42" i="1"/>
  <c r="N46" i="1"/>
  <c r="N28" i="1"/>
  <c r="N39" i="1"/>
  <c r="N20" i="1"/>
  <c r="N36" i="1"/>
  <c r="N43" i="1"/>
  <c r="N50" i="1"/>
  <c r="N21" i="1"/>
  <c r="F221" i="13" l="1"/>
  <c r="F211" i="13"/>
  <c r="F212" i="13"/>
  <c r="F213" i="13"/>
  <c r="F214" i="13"/>
  <c r="F215" i="13"/>
  <c r="F216" i="13"/>
  <c r="F217" i="13"/>
  <c r="F218" i="13"/>
  <c r="F219" i="13"/>
  <c r="F220" i="13"/>
  <c r="F210" i="13"/>
  <c r="B221" i="13" a="1"/>
  <c r="N16" i="1"/>
  <c r="N15" i="1"/>
  <c r="N14" i="1"/>
  <c r="N12" i="1"/>
  <c r="N13"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W70" i="1" l="1"/>
  <c r="W69" i="1"/>
  <c r="W68" i="1"/>
  <c r="W67" i="1"/>
  <c r="W66" i="1"/>
  <c r="W65" i="1"/>
  <c r="K65" i="1"/>
  <c r="L65" i="1" s="1"/>
  <c r="W64" i="1"/>
  <c r="W63" i="1"/>
  <c r="W62" i="1"/>
  <c r="W61" i="1"/>
  <c r="W60" i="1"/>
  <c r="W59" i="1"/>
  <c r="K59" i="1"/>
  <c r="L59" i="1" s="1"/>
  <c r="W58" i="1"/>
  <c r="W57" i="1"/>
  <c r="W56" i="1"/>
  <c r="W55" i="1"/>
  <c r="W54" i="1"/>
  <c r="AE54" i="1"/>
  <c r="W53" i="1"/>
  <c r="K53" i="1"/>
  <c r="L53" i="1" s="1"/>
  <c r="W52" i="1"/>
  <c r="W51" i="1"/>
  <c r="W50" i="1"/>
  <c r="W49" i="1"/>
  <c r="W48" i="1"/>
  <c r="W47" i="1"/>
  <c r="AE48" i="1"/>
  <c r="K47" i="1"/>
  <c r="L47" i="1" s="1"/>
  <c r="W46" i="1"/>
  <c r="W45" i="1"/>
  <c r="W44" i="1"/>
  <c r="W43" i="1"/>
  <c r="W42" i="1"/>
  <c r="W41" i="1"/>
  <c r="AE42" i="1"/>
  <c r="K41" i="1"/>
  <c r="L41" i="1" s="1"/>
  <c r="W40" i="1"/>
  <c r="W39" i="1"/>
  <c r="W38" i="1"/>
  <c r="W37" i="1"/>
  <c r="W36" i="1"/>
  <c r="W35" i="1"/>
  <c r="K35" i="1"/>
  <c r="L35" i="1" s="1"/>
  <c r="W34" i="1"/>
  <c r="W33" i="1"/>
  <c r="W32" i="1"/>
  <c r="W31" i="1"/>
  <c r="W30" i="1"/>
  <c r="W29" i="1"/>
  <c r="K29" i="1"/>
  <c r="L29" i="1" s="1"/>
  <c r="W28" i="1"/>
  <c r="W27" i="1"/>
  <c r="W26" i="1"/>
  <c r="W25" i="1"/>
  <c r="K23" i="1"/>
  <c r="L23" i="1" s="1"/>
  <c r="K17" i="1"/>
  <c r="W22" i="1"/>
  <c r="W21" i="1"/>
  <c r="W20" i="1"/>
  <c r="W19" i="1"/>
  <c r="W18" i="1"/>
  <c r="W17" i="1"/>
  <c r="AE30" i="1" l="1"/>
  <c r="AE66" i="1"/>
  <c r="AE36" i="1"/>
  <c r="AE60" i="1"/>
  <c r="AE51" i="1"/>
  <c r="AD51" i="1" s="1"/>
  <c r="AE52" i="1"/>
  <c r="AD52" i="1" s="1"/>
  <c r="L17" i="1"/>
  <c r="AA17" i="1" s="1"/>
  <c r="AA65" i="1"/>
  <c r="AA59" i="1"/>
  <c r="AA53" i="1"/>
  <c r="AA47" i="1"/>
  <c r="AA51" i="1"/>
  <c r="AA52" i="1"/>
  <c r="AA41" i="1"/>
  <c r="AA35" i="1"/>
  <c r="AA29" i="1"/>
  <c r="AB65" i="1" l="1"/>
  <c r="AC65" i="1"/>
  <c r="AA66" i="1" s="1"/>
  <c r="AB66" i="1" s="1"/>
  <c r="AB59" i="1"/>
  <c r="AC59" i="1"/>
  <c r="AA60" i="1" s="1"/>
  <c r="AC60" i="1" s="1"/>
  <c r="AA61" i="1" s="1"/>
  <c r="AB53" i="1"/>
  <c r="AC53" i="1"/>
  <c r="AA54" i="1" s="1"/>
  <c r="AC54" i="1" s="1"/>
  <c r="AA55" i="1" s="1"/>
  <c r="AB52" i="1"/>
  <c r="AC52" i="1"/>
  <c r="AB51" i="1"/>
  <c r="AC51" i="1"/>
  <c r="AB47" i="1"/>
  <c r="AC47" i="1"/>
  <c r="AB41" i="1"/>
  <c r="AC41" i="1"/>
  <c r="AA42" i="1" s="1"/>
  <c r="AC42" i="1" s="1"/>
  <c r="AA43" i="1" s="1"/>
  <c r="AB35" i="1"/>
  <c r="AC35" i="1"/>
  <c r="AB29" i="1"/>
  <c r="AC29" i="1"/>
  <c r="AA30" i="1" s="1"/>
  <c r="AC30" i="1" s="1"/>
  <c r="AA31" i="1" s="1"/>
  <c r="AB31" i="1" s="1"/>
  <c r="AB17" i="1"/>
  <c r="AC17" i="1"/>
  <c r="AA18" i="1" s="1"/>
  <c r="AB60" i="1" l="1"/>
  <c r="AB54" i="1"/>
  <c r="AA25" i="1"/>
  <c r="AB25" i="1" s="1"/>
  <c r="AB42" i="1"/>
  <c r="AB30" i="1"/>
  <c r="AB43" i="1"/>
  <c r="AC43" i="1"/>
  <c r="AC61" i="1"/>
  <c r="AA62" i="1" s="1"/>
  <c r="AB61" i="1"/>
  <c r="AC55" i="1"/>
  <c r="AA56" i="1" s="1"/>
  <c r="AB55" i="1"/>
  <c r="AC66" i="1"/>
  <c r="AA67" i="1" s="1"/>
  <c r="AA36" i="1"/>
  <c r="AA48" i="1"/>
  <c r="AA49" i="1"/>
  <c r="AC3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F51" i="1"/>
  <c r="AF52" i="1"/>
  <c r="W12" i="1"/>
  <c r="W13" i="1"/>
  <c r="W14" i="1"/>
  <c r="W15" i="1"/>
  <c r="W16" i="1"/>
  <c r="AB62" i="1" l="1"/>
  <c r="AC62" i="1"/>
  <c r="AB56" i="1"/>
  <c r="AC56" i="1"/>
  <c r="AA57" i="1" s="1"/>
  <c r="AC25" i="1"/>
  <c r="AA26" i="1" s="1"/>
  <c r="AC26" i="1" s="1"/>
  <c r="AB49" i="1"/>
  <c r="AC49" i="1"/>
  <c r="AA50" i="1" s="1"/>
  <c r="AB67" i="1"/>
  <c r="AC67" i="1"/>
  <c r="AA68" i="1" s="1"/>
  <c r="AB48" i="1"/>
  <c r="AC48" i="1"/>
  <c r="AA44" i="1"/>
  <c r="AB36" i="1"/>
  <c r="AC36" i="1"/>
  <c r="AA37" i="1" s="1"/>
  <c r="AB37" i="1" s="1"/>
  <c r="AA33" i="1"/>
  <c r="AB33" i="1" s="1"/>
  <c r="AA32" i="1"/>
  <c r="AB18" i="1"/>
  <c r="AC18" i="1"/>
  <c r="AA19" i="1" s="1"/>
  <c r="AB19" i="1" s="1"/>
  <c r="AC37" i="1" l="1"/>
  <c r="AA38" i="1" s="1"/>
  <c r="AC38" i="1" s="1"/>
  <c r="AA39" i="1" s="1"/>
  <c r="AB57" i="1"/>
  <c r="AC57" i="1"/>
  <c r="AA58" i="1" s="1"/>
  <c r="AA63" i="1"/>
  <c r="AA64" i="1"/>
  <c r="AB26" i="1"/>
  <c r="AB44" i="1"/>
  <c r="AC44" i="1"/>
  <c r="AA45" i="1" s="1"/>
  <c r="AB45" i="1" s="1"/>
  <c r="AB50" i="1"/>
  <c r="AC50" i="1"/>
  <c r="AA27" i="1"/>
  <c r="AC68" i="1"/>
  <c r="AB68" i="1"/>
  <c r="AB32" i="1"/>
  <c r="AC32" i="1"/>
  <c r="AC33" i="1"/>
  <c r="AA34" i="1" s="1"/>
  <c r="AC19" i="1"/>
  <c r="AA20" i="1" s="1"/>
  <c r="AB20" i="1" s="1"/>
  <c r="AB38" i="1" l="1"/>
  <c r="AB64" i="1"/>
  <c r="AC64" i="1"/>
  <c r="AB63" i="1"/>
  <c r="AC63" i="1"/>
  <c r="AB58" i="1"/>
  <c r="AC58" i="1"/>
  <c r="AA69" i="1"/>
  <c r="AA70" i="1"/>
  <c r="AC45" i="1"/>
  <c r="AA46" i="1" s="1"/>
  <c r="AB46" i="1" s="1"/>
  <c r="AC39" i="1"/>
  <c r="AA40" i="1" s="1"/>
  <c r="AB39" i="1"/>
  <c r="AB27" i="1"/>
  <c r="AC27" i="1"/>
  <c r="AA28" i="1" s="1"/>
  <c r="AB28" i="1" s="1"/>
  <c r="AB34" i="1"/>
  <c r="AC34" i="1"/>
  <c r="AC20" i="1"/>
  <c r="AA21" i="1" s="1"/>
  <c r="AC21" i="1" s="1"/>
  <c r="AA22" i="1" s="1"/>
  <c r="AA11" i="1"/>
  <c r="AB11" i="1" s="1"/>
  <c r="AB70" i="1" l="1"/>
  <c r="AC70" i="1"/>
  <c r="AB69" i="1"/>
  <c r="AC69" i="1"/>
  <c r="AB40" i="1"/>
  <c r="AC40" i="1"/>
  <c r="AC46" i="1"/>
  <c r="AC28" i="1"/>
  <c r="AB21" i="1"/>
  <c r="AB22" i="1"/>
  <c r="AC22" i="1"/>
  <c r="AC11" i="1" l="1"/>
  <c r="AA12" i="1" s="1"/>
  <c r="AB12" i="1" l="1"/>
  <c r="AC12" i="1" l="1"/>
  <c r="AA13" i="1" s="1"/>
  <c r="AB13" i="1" s="1"/>
  <c r="AC13" i="1" l="1"/>
  <c r="AA14" i="1" s="1"/>
  <c r="AC14" i="1" l="1"/>
  <c r="AA15" i="1" s="1"/>
  <c r="AB15" i="1" l="1"/>
  <c r="AC15" i="1"/>
  <c r="AA16" i="1" s="1"/>
  <c r="AB14" i="1"/>
  <c r="AB16" i="1" l="1"/>
  <c r="AC16" i="1"/>
  <c r="AE29" i="1" l="1"/>
  <c r="AD29" i="1" s="1"/>
  <c r="AE67" i="1"/>
  <c r="AE59" i="1"/>
  <c r="AE41" i="1"/>
  <c r="AD41" i="1" s="1"/>
  <c r="AE53" i="1"/>
  <c r="AD53" i="1" s="1"/>
  <c r="AE47" i="1"/>
  <c r="AD47" i="1" s="1"/>
  <c r="AE35" i="1"/>
  <c r="AD35" i="1" s="1"/>
  <c r="J40" i="19" l="1"/>
  <c r="V30" i="19"/>
  <c r="AH20" i="19"/>
  <c r="J30" i="19"/>
  <c r="V20" i="19"/>
  <c r="AH10" i="19"/>
  <c r="P10" i="19"/>
  <c r="AB50" i="19"/>
  <c r="J50" i="19"/>
  <c r="AB40" i="19"/>
  <c r="P30" i="19"/>
  <c r="V50" i="19"/>
  <c r="P50" i="19"/>
  <c r="AB10" i="19"/>
  <c r="AH30" i="19"/>
  <c r="AH40" i="19"/>
  <c r="J10" i="19"/>
  <c r="AB20" i="19"/>
  <c r="AH50" i="19"/>
  <c r="AF35" i="1"/>
  <c r="V10" i="19"/>
  <c r="P20" i="19"/>
  <c r="J20" i="19"/>
  <c r="P40" i="19"/>
  <c r="V40" i="19"/>
  <c r="AB30" i="19"/>
  <c r="J11" i="19"/>
  <c r="V11" i="19"/>
  <c r="AB21" i="19"/>
  <c r="P31" i="19"/>
  <c r="J31" i="19"/>
  <c r="AB41" i="19"/>
  <c r="AF41" i="1"/>
  <c r="AH41" i="19"/>
  <c r="P41" i="19"/>
  <c r="J21" i="19"/>
  <c r="AB31" i="19"/>
  <c r="AB51" i="19"/>
  <c r="P21" i="19"/>
  <c r="V41" i="19"/>
  <c r="V31" i="19"/>
  <c r="AH21" i="19"/>
  <c r="AB11" i="19"/>
  <c r="P51" i="19"/>
  <c r="V21" i="19"/>
  <c r="AH31" i="19"/>
  <c r="V51" i="19"/>
  <c r="J51" i="19"/>
  <c r="AH51" i="19"/>
  <c r="AH11" i="19"/>
  <c r="J41" i="19"/>
  <c r="P11" i="19"/>
  <c r="AE25" i="1"/>
  <c r="AF53"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D59" i="1"/>
  <c r="AD66" i="1"/>
  <c r="AF29"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E13" i="1"/>
  <c r="AD67" i="1"/>
  <c r="AE68" i="1"/>
  <c r="AE37" i="1"/>
  <c r="AD36" i="1"/>
  <c r="AD42" i="1"/>
  <c r="AE43" i="1"/>
  <c r="AD43" i="1" s="1"/>
  <c r="AE44" i="1"/>
  <c r="V32" i="19"/>
  <c r="P42" i="19"/>
  <c r="J12" i="19"/>
  <c r="J32" i="19"/>
  <c r="AB52" i="19"/>
  <c r="AF47" i="1"/>
  <c r="J22" i="19"/>
  <c r="V22" i="19"/>
  <c r="J52" i="19"/>
  <c r="AH12" i="19"/>
  <c r="J42" i="19"/>
  <c r="AH42" i="19"/>
  <c r="P32" i="19"/>
  <c r="AB12" i="19"/>
  <c r="AH32" i="19"/>
  <c r="AB32" i="19"/>
  <c r="AB42" i="19"/>
  <c r="V42" i="19"/>
  <c r="V12" i="19"/>
  <c r="V52" i="19"/>
  <c r="AB22" i="19"/>
  <c r="AH52" i="19"/>
  <c r="AH22" i="19"/>
  <c r="P22" i="19"/>
  <c r="P12" i="19"/>
  <c r="P52" i="19"/>
  <c r="AE49" i="1"/>
  <c r="AD49" i="1" s="1"/>
  <c r="AE50" i="1"/>
  <c r="AD50" i="1" s="1"/>
  <c r="AD48" i="1"/>
  <c r="AE19" i="1"/>
  <c r="AD54" i="1"/>
  <c r="AE55" i="1"/>
  <c r="AD60" i="1"/>
  <c r="AE61" i="1"/>
  <c r="AD30" i="1"/>
  <c r="AE31" i="1"/>
  <c r="AD68" i="1" l="1"/>
  <c r="AE69" i="1"/>
  <c r="K35" i="19"/>
  <c r="AC25" i="19"/>
  <c r="K45" i="19"/>
  <c r="AI45" i="19"/>
  <c r="W45" i="19"/>
  <c r="Q35" i="19"/>
  <c r="K55" i="19"/>
  <c r="AC15" i="19"/>
  <c r="Q15" i="19"/>
  <c r="AC35" i="19"/>
  <c r="AI35" i="19"/>
  <c r="Q55" i="19"/>
  <c r="AI25" i="19"/>
  <c r="AF66"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F60"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F42" i="1"/>
  <c r="AD55" i="19"/>
  <c r="R15" i="19"/>
  <c r="AJ35" i="19"/>
  <c r="AF67"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F59"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F49" i="1"/>
  <c r="AD12" i="19"/>
  <c r="AD32" i="19"/>
  <c r="AD22" i="19"/>
  <c r="X52" i="19"/>
  <c r="AD52" i="19"/>
  <c r="L42" i="19"/>
  <c r="R42" i="19"/>
  <c r="AJ21" i="19"/>
  <c r="AD31" i="19"/>
  <c r="R21" i="19"/>
  <c r="AD41" i="19"/>
  <c r="AJ11" i="19"/>
  <c r="AJ51" i="19"/>
  <c r="AF43" i="1"/>
  <c r="L41" i="19"/>
  <c r="AD11" i="19"/>
  <c r="L21" i="19"/>
  <c r="L11" i="19"/>
  <c r="X51" i="19"/>
  <c r="X21" i="19"/>
  <c r="R11" i="19"/>
  <c r="R31" i="19"/>
  <c r="AJ41" i="19"/>
  <c r="L31" i="19"/>
  <c r="R51" i="19"/>
  <c r="X31" i="19"/>
  <c r="X11" i="19"/>
  <c r="X41" i="19"/>
  <c r="AJ31" i="19"/>
  <c r="AD51" i="19"/>
  <c r="R41" i="19"/>
  <c r="AD21" i="19"/>
  <c r="L51" i="19"/>
  <c r="AE20" i="1"/>
  <c r="AD19" i="1"/>
  <c r="AD31" i="1"/>
  <c r="AE32" i="1"/>
  <c r="AD55" i="1"/>
  <c r="AE56" i="1"/>
  <c r="K42" i="19"/>
  <c r="AC32" i="19"/>
  <c r="W42" i="19"/>
  <c r="AI52" i="19"/>
  <c r="K22" i="19"/>
  <c r="Q32" i="19"/>
  <c r="AI12" i="19"/>
  <c r="AC52" i="19"/>
  <c r="Q42" i="19"/>
  <c r="AC42" i="19"/>
  <c r="K12" i="19"/>
  <c r="Q22" i="19"/>
  <c r="W52" i="19"/>
  <c r="AI42" i="19"/>
  <c r="W32" i="19"/>
  <c r="AI22" i="19"/>
  <c r="W12" i="19"/>
  <c r="AI32" i="19"/>
  <c r="AC12" i="19"/>
  <c r="Q12" i="19"/>
  <c r="Q52" i="19"/>
  <c r="AF48" i="1"/>
  <c r="K32" i="19"/>
  <c r="W22" i="19"/>
  <c r="K52" i="19"/>
  <c r="AC22" i="19"/>
  <c r="AC40" i="19"/>
  <c r="W10" i="19"/>
  <c r="AC50" i="19"/>
  <c r="Q10" i="19"/>
  <c r="Q30" i="19"/>
  <c r="W50" i="19"/>
  <c r="K40" i="19"/>
  <c r="Q50" i="19"/>
  <c r="W20" i="19"/>
  <c r="AF36" i="1"/>
  <c r="K10" i="19"/>
  <c r="Q40" i="19"/>
  <c r="K30" i="19"/>
  <c r="AI50" i="19"/>
  <c r="AI20" i="19"/>
  <c r="K50" i="19"/>
  <c r="AI40" i="19"/>
  <c r="W40" i="19"/>
  <c r="K20" i="19"/>
  <c r="AC10" i="19"/>
  <c r="AI10" i="19"/>
  <c r="AC20" i="19"/>
  <c r="AI30" i="19"/>
  <c r="AC30" i="19"/>
  <c r="W30" i="19"/>
  <c r="Q20" i="19"/>
  <c r="AE26" i="1"/>
  <c r="AD25" i="1"/>
  <c r="AD61" i="1"/>
  <c r="AE62" i="1"/>
  <c r="K39" i="19"/>
  <c r="AC39" i="19"/>
  <c r="W29" i="19"/>
  <c r="AI49" i="19"/>
  <c r="W9" i="19"/>
  <c r="AC19" i="19"/>
  <c r="Q49" i="19"/>
  <c r="W49" i="19"/>
  <c r="AC9" i="19"/>
  <c r="AI9" i="19"/>
  <c r="Q29" i="19"/>
  <c r="W39" i="19"/>
  <c r="Q39" i="19"/>
  <c r="AF30"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F54" i="1"/>
  <c r="Q33" i="19"/>
  <c r="AI23" i="19"/>
  <c r="K53" i="19"/>
  <c r="AC23" i="19"/>
  <c r="AC13" i="19"/>
  <c r="W23" i="19"/>
  <c r="W33" i="19"/>
  <c r="Q13" i="19"/>
  <c r="W13" i="19"/>
  <c r="AI13" i="19"/>
  <c r="Q43" i="19"/>
  <c r="Q23" i="19"/>
  <c r="W53" i="19"/>
  <c r="M12" i="19"/>
  <c r="AK42" i="19"/>
  <c r="AE32" i="19"/>
  <c r="AF50" i="1"/>
  <c r="M52" i="19"/>
  <c r="S12" i="19"/>
  <c r="M32" i="19"/>
  <c r="S52" i="19"/>
  <c r="Y52" i="19"/>
  <c r="Y42" i="19"/>
  <c r="AK12" i="19"/>
  <c r="S22" i="19"/>
  <c r="AE12" i="19"/>
  <c r="Y22" i="19"/>
  <c r="S32" i="19"/>
  <c r="AK52" i="19"/>
  <c r="M22" i="19"/>
  <c r="AK32" i="19"/>
  <c r="AE22" i="19"/>
  <c r="AE42" i="19"/>
  <c r="Y32" i="19"/>
  <c r="M42" i="19"/>
  <c r="Y12" i="19"/>
  <c r="AE52" i="19"/>
  <c r="AK22" i="19"/>
  <c r="S42" i="19"/>
  <c r="AD44" i="1"/>
  <c r="AE46" i="1"/>
  <c r="AD46" i="1" s="1"/>
  <c r="AE45" i="1"/>
  <c r="AD45" i="1" s="1"/>
  <c r="AD37" i="1"/>
  <c r="AE38" i="1"/>
  <c r="AE14" i="1"/>
  <c r="AD14" i="1" s="1"/>
  <c r="AD13" i="1"/>
  <c r="AE15" i="1"/>
  <c r="AD15" i="1" l="1"/>
  <c r="AE16" i="1"/>
  <c r="AD16" i="1" s="1"/>
  <c r="R40" i="19"/>
  <c r="AD10" i="19"/>
  <c r="X40" i="19"/>
  <c r="AJ10" i="19"/>
  <c r="R50" i="19"/>
  <c r="X10" i="19"/>
  <c r="R30" i="19"/>
  <c r="AF37" i="1"/>
  <c r="L10" i="19"/>
  <c r="L50" i="19"/>
  <c r="AJ20" i="19"/>
  <c r="AJ40" i="19"/>
  <c r="AD30" i="19"/>
  <c r="R20" i="19"/>
  <c r="AD50" i="19"/>
  <c r="AJ30" i="19"/>
  <c r="AJ50" i="19"/>
  <c r="X30" i="19"/>
  <c r="AD20" i="19"/>
  <c r="L40" i="19"/>
  <c r="X50" i="19"/>
  <c r="X20" i="19"/>
  <c r="AD40" i="19"/>
  <c r="R10" i="19"/>
  <c r="L30" i="19"/>
  <c r="L20" i="19"/>
  <c r="AD56" i="1"/>
  <c r="AE57" i="1"/>
  <c r="AD69" i="1"/>
  <c r="AE70" i="1"/>
  <c r="AD70" i="1" s="1"/>
  <c r="AD47" i="19"/>
  <c r="AJ27" i="19"/>
  <c r="AD27" i="19"/>
  <c r="AJ7" i="19"/>
  <c r="AJ37" i="19"/>
  <c r="L27" i="19"/>
  <c r="AD17" i="19"/>
  <c r="L37" i="19"/>
  <c r="R17" i="19"/>
  <c r="AJ17" i="19"/>
  <c r="X7" i="19"/>
  <c r="X47" i="19"/>
  <c r="L7" i="19"/>
  <c r="L17" i="19"/>
  <c r="R27" i="19"/>
  <c r="X27" i="19"/>
  <c r="R7" i="19"/>
  <c r="X17" i="19"/>
  <c r="AJ47" i="19"/>
  <c r="L47" i="19"/>
  <c r="R37" i="19"/>
  <c r="AD7" i="19"/>
  <c r="X37" i="19"/>
  <c r="AF19" i="1"/>
  <c r="R47" i="19"/>
  <c r="AD37" i="19"/>
  <c r="AE27" i="1"/>
  <c r="AD27" i="1" s="1"/>
  <c r="AD26" i="1"/>
  <c r="AE28" i="1"/>
  <c r="AD28" i="1" s="1"/>
  <c r="AJ43" i="19"/>
  <c r="AD33" i="19"/>
  <c r="X33" i="19"/>
  <c r="X13" i="19"/>
  <c r="AD43" i="19"/>
  <c r="L43" i="19"/>
  <c r="AF55" i="1"/>
  <c r="X23" i="19"/>
  <c r="R33" i="19"/>
  <c r="R43" i="19"/>
  <c r="AD53" i="19"/>
  <c r="AJ13" i="19"/>
  <c r="R23" i="19"/>
  <c r="R13" i="19"/>
  <c r="AJ53" i="19"/>
  <c r="L33" i="19"/>
  <c r="L23" i="19"/>
  <c r="X43" i="19"/>
  <c r="X53" i="19"/>
  <c r="AD13" i="19"/>
  <c r="L53" i="19"/>
  <c r="L13" i="19"/>
  <c r="AD23" i="19"/>
  <c r="AJ33" i="19"/>
  <c r="AJ23" i="19"/>
  <c r="R53" i="19"/>
  <c r="AD20" i="1"/>
  <c r="AE21" i="1"/>
  <c r="M55" i="19"/>
  <c r="AK15" i="19"/>
  <c r="AE25" i="19"/>
  <c r="AF68"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F25"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F45"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F14" i="1"/>
  <c r="O11" i="19"/>
  <c r="O21" i="19"/>
  <c r="O51" i="19"/>
  <c r="AA31" i="19"/>
  <c r="AM31" i="19"/>
  <c r="AG51" i="19"/>
  <c r="AA41" i="19"/>
  <c r="AM11" i="19"/>
  <c r="U21" i="19"/>
  <c r="AG41" i="19"/>
  <c r="AM21" i="19"/>
  <c r="AM51" i="19"/>
  <c r="O41" i="19"/>
  <c r="U11" i="19"/>
  <c r="AG31" i="19"/>
  <c r="U41" i="19"/>
  <c r="AF46" i="1"/>
  <c r="AG11" i="19"/>
  <c r="AM41" i="19"/>
  <c r="AA21" i="19"/>
  <c r="AA51" i="19"/>
  <c r="U51" i="19"/>
  <c r="U31" i="19"/>
  <c r="AA11" i="19"/>
  <c r="AG21" i="19"/>
  <c r="O31" i="19"/>
  <c r="AD62" i="1"/>
  <c r="AE63" i="1"/>
  <c r="AD32" i="1"/>
  <c r="AE33" i="1"/>
  <c r="AD33" i="1" s="1"/>
  <c r="AE34" i="1"/>
  <c r="AD34" i="1" s="1"/>
  <c r="AJ46" i="19"/>
  <c r="AD46" i="19"/>
  <c r="L36" i="19"/>
  <c r="X16" i="19"/>
  <c r="AJ26" i="19"/>
  <c r="L46" i="19"/>
  <c r="X6" i="19"/>
  <c r="R36" i="19"/>
  <c r="X36" i="19"/>
  <c r="R6" i="19"/>
  <c r="AJ6" i="19"/>
  <c r="AD36" i="19"/>
  <c r="R46" i="19"/>
  <c r="AD26" i="19"/>
  <c r="L16" i="19"/>
  <c r="AD16" i="19"/>
  <c r="AF13" i="1"/>
  <c r="X46" i="19"/>
  <c r="X26" i="19"/>
  <c r="AJ36" i="19"/>
  <c r="R26" i="19"/>
  <c r="AD6" i="19"/>
  <c r="L6" i="19"/>
  <c r="L26" i="19"/>
  <c r="R16" i="19"/>
  <c r="AJ16" i="19"/>
  <c r="AD38" i="1"/>
  <c r="AE39" i="1"/>
  <c r="AE11" i="19"/>
  <c r="Y41" i="19"/>
  <c r="M41" i="19"/>
  <c r="Y21" i="19"/>
  <c r="AK41" i="19"/>
  <c r="S31" i="19"/>
  <c r="M31" i="19"/>
  <c r="M51" i="19"/>
  <c r="Y51" i="19"/>
  <c r="AK21" i="19"/>
  <c r="AK31" i="19"/>
  <c r="Y11" i="19"/>
  <c r="AE41" i="19"/>
  <c r="AE21" i="19"/>
  <c r="S51" i="19"/>
  <c r="AE51" i="19"/>
  <c r="AK51" i="19"/>
  <c r="M21" i="19"/>
  <c r="AE31" i="19"/>
  <c r="AF44" i="1"/>
  <c r="S41" i="19"/>
  <c r="AK11" i="19"/>
  <c r="S11" i="19"/>
  <c r="Y31" i="19"/>
  <c r="S21" i="19"/>
  <c r="M11" i="19"/>
  <c r="L54" i="19"/>
  <c r="AJ14" i="19"/>
  <c r="AD44" i="19"/>
  <c r="X54" i="19"/>
  <c r="R14" i="19"/>
  <c r="AD24" i="19"/>
  <c r="AD34" i="19"/>
  <c r="R54" i="19"/>
  <c r="L34" i="19"/>
  <c r="AJ34" i="19"/>
  <c r="X24" i="19"/>
  <c r="AJ24" i="19"/>
  <c r="X44" i="19"/>
  <c r="R24" i="19"/>
  <c r="AF61" i="1"/>
  <c r="X34" i="19"/>
  <c r="L14" i="19"/>
  <c r="AD14" i="19"/>
  <c r="L44" i="19"/>
  <c r="R44" i="19"/>
  <c r="AD54" i="19"/>
  <c r="X14" i="19"/>
  <c r="AJ44" i="19"/>
  <c r="R34" i="19"/>
  <c r="AJ54" i="19"/>
  <c r="L24" i="19"/>
  <c r="AD29" i="19"/>
  <c r="AD19" i="19"/>
  <c r="R39" i="19"/>
  <c r="R9" i="19"/>
  <c r="X49" i="19"/>
  <c r="X9" i="19"/>
  <c r="AD39" i="19"/>
  <c r="R29" i="19"/>
  <c r="L49" i="19"/>
  <c r="X19" i="19"/>
  <c r="X29" i="19"/>
  <c r="X39" i="19"/>
  <c r="L9" i="19"/>
  <c r="AF31" i="1"/>
  <c r="AD9" i="19"/>
  <c r="AJ49" i="19"/>
  <c r="L39" i="19"/>
  <c r="R19" i="19"/>
  <c r="AJ39" i="19"/>
  <c r="AJ29" i="19"/>
  <c r="AJ19" i="19"/>
  <c r="AJ9" i="19"/>
  <c r="AD49" i="19"/>
  <c r="L19" i="19"/>
  <c r="L29" i="19"/>
  <c r="R49" i="19"/>
  <c r="AD39" i="1" l="1"/>
  <c r="AE40" i="1"/>
  <c r="AD40" i="1" s="1"/>
  <c r="AG39" i="19"/>
  <c r="AG29" i="19"/>
  <c r="AM19" i="19"/>
  <c r="O39" i="19"/>
  <c r="AF34"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F62" i="1"/>
  <c r="AE24" i="19"/>
  <c r="S14" i="19"/>
  <c r="AK17" i="19"/>
  <c r="S27" i="19"/>
  <c r="S37" i="19"/>
  <c r="AE27" i="19"/>
  <c r="Y47" i="19"/>
  <c r="S7" i="19"/>
  <c r="M17" i="19"/>
  <c r="AE17" i="19"/>
  <c r="AK27" i="19"/>
  <c r="Y7" i="19"/>
  <c r="Y37" i="19"/>
  <c r="AE37" i="19"/>
  <c r="Y27" i="19"/>
  <c r="M47" i="19"/>
  <c r="AF20"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F26" i="1"/>
  <c r="AE28" i="19"/>
  <c r="AA55" i="19"/>
  <c r="O45" i="19"/>
  <c r="AA15" i="19"/>
  <c r="AM55" i="19"/>
  <c r="O55" i="19"/>
  <c r="AG35" i="19"/>
  <c r="AM25" i="19"/>
  <c r="AM35" i="19"/>
  <c r="AA25" i="19"/>
  <c r="AM45" i="19"/>
  <c r="AG25" i="19"/>
  <c r="AA35" i="19"/>
  <c r="O25" i="19"/>
  <c r="U25" i="19"/>
  <c r="AG45" i="19"/>
  <c r="U35" i="19"/>
  <c r="AA45" i="19"/>
  <c r="AM15" i="19"/>
  <c r="U45" i="19"/>
  <c r="O35" i="19"/>
  <c r="O15" i="19"/>
  <c r="AF70" i="1"/>
  <c r="AG15" i="19"/>
  <c r="U15" i="19"/>
  <c r="AG55" i="19"/>
  <c r="U55" i="19"/>
  <c r="AE40" i="19"/>
  <c r="Y30" i="19"/>
  <c r="M20" i="19"/>
  <c r="AF38"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F33" i="1"/>
  <c r="T19" i="19"/>
  <c r="AL49" i="19"/>
  <c r="T29" i="19"/>
  <c r="AF29" i="19"/>
  <c r="T18" i="19"/>
  <c r="N48" i="19"/>
  <c r="N8" i="19"/>
  <c r="T28" i="19"/>
  <c r="AF38" i="19"/>
  <c r="Z28" i="19"/>
  <c r="Z18" i="19"/>
  <c r="AF8" i="19"/>
  <c r="AF27"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F69"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F32" i="1"/>
  <c r="M9" i="19"/>
  <c r="Y29" i="19"/>
  <c r="AD57" i="1"/>
  <c r="AE58" i="1"/>
  <c r="AD58" i="1" s="1"/>
  <c r="AM46" i="19"/>
  <c r="U36" i="19"/>
  <c r="AG16" i="19"/>
  <c r="O6" i="19"/>
  <c r="AA36" i="19"/>
  <c r="AM16" i="19"/>
  <c r="U6" i="19"/>
  <c r="AG46" i="19"/>
  <c r="AA16" i="19"/>
  <c r="AF16" i="1"/>
  <c r="AA6" i="19"/>
  <c r="AG6" i="19"/>
  <c r="AA46" i="19"/>
  <c r="AM26" i="19"/>
  <c r="U16" i="19"/>
  <c r="O36" i="19"/>
  <c r="U26" i="19"/>
  <c r="O46" i="19"/>
  <c r="AA26" i="19"/>
  <c r="AM6" i="19"/>
  <c r="U46" i="19"/>
  <c r="AG26" i="19"/>
  <c r="O16" i="19"/>
  <c r="AG36" i="19"/>
  <c r="O26" i="19"/>
  <c r="AM36" i="19"/>
  <c r="AD63" i="1"/>
  <c r="AE64" i="1"/>
  <c r="AD64" i="1" s="1"/>
  <c r="AE22" i="1"/>
  <c r="AD22" i="1" s="1"/>
  <c r="AD21" i="1"/>
  <c r="O8" i="19"/>
  <c r="AA48" i="19"/>
  <c r="AM38" i="19"/>
  <c r="U48" i="19"/>
  <c r="AA18" i="19"/>
  <c r="AG18" i="19"/>
  <c r="AG48" i="19"/>
  <c r="AM18" i="19"/>
  <c r="AA28" i="19"/>
  <c r="AG28" i="19"/>
  <c r="AA8" i="19"/>
  <c r="U18" i="19"/>
  <c r="AG38" i="19"/>
  <c r="U38" i="19"/>
  <c r="AM8" i="19"/>
  <c r="AA38" i="19"/>
  <c r="AM48" i="19"/>
  <c r="U28" i="19"/>
  <c r="O38" i="19"/>
  <c r="U8" i="19"/>
  <c r="AG8" i="19"/>
  <c r="AF28"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F56" i="1"/>
  <c r="M33" i="19"/>
  <c r="AF6" i="19"/>
  <c r="N46" i="19"/>
  <c r="Z26" i="19"/>
  <c r="AL6" i="19"/>
  <c r="AL36" i="19"/>
  <c r="AF26" i="19"/>
  <c r="Z6" i="19"/>
  <c r="T26" i="19"/>
  <c r="Z46" i="19"/>
  <c r="AF46" i="19"/>
  <c r="T46" i="19"/>
  <c r="T6" i="19"/>
  <c r="AF36" i="19"/>
  <c r="N26" i="19"/>
  <c r="Z16" i="19"/>
  <c r="AL26" i="19"/>
  <c r="Z36" i="19"/>
  <c r="N36" i="19"/>
  <c r="AL46" i="19"/>
  <c r="T36" i="19"/>
  <c r="AF16" i="19"/>
  <c r="N6" i="19"/>
  <c r="N16" i="19"/>
  <c r="AF15"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F64" i="1"/>
  <c r="AA14" i="19"/>
  <c r="O54" i="19"/>
  <c r="U44" i="19"/>
  <c r="U43" i="19"/>
  <c r="U13" i="19"/>
  <c r="AM53" i="19"/>
  <c r="AA53" i="19"/>
  <c r="AA43" i="19"/>
  <c r="O53" i="19"/>
  <c r="O23" i="19"/>
  <c r="O13" i="19"/>
  <c r="AG43" i="19"/>
  <c r="U33" i="19"/>
  <c r="U23" i="19"/>
  <c r="AM13" i="19"/>
  <c r="AM23" i="19"/>
  <c r="AG13" i="19"/>
  <c r="AA23" i="19"/>
  <c r="AG33" i="19"/>
  <c r="AA33" i="19"/>
  <c r="AM33" i="19"/>
  <c r="AA13" i="19"/>
  <c r="AF58"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63" i="1"/>
  <c r="AF53" i="19"/>
  <c r="T43" i="19"/>
  <c r="Z53" i="19"/>
  <c r="N43" i="19"/>
  <c r="T23" i="19"/>
  <c r="AF43" i="19"/>
  <c r="Z13" i="19"/>
  <c r="Z43" i="19"/>
  <c r="AF23" i="19"/>
  <c r="AL13" i="19"/>
  <c r="Z23" i="19"/>
  <c r="AL43" i="19"/>
  <c r="AF13" i="19"/>
  <c r="AL23" i="19"/>
  <c r="N13" i="19"/>
  <c r="T33" i="19"/>
  <c r="AL53" i="19"/>
  <c r="N23" i="19"/>
  <c r="N53" i="19"/>
  <c r="AF33" i="19"/>
  <c r="N33" i="19"/>
  <c r="AF57" i="1"/>
  <c r="T53" i="19"/>
  <c r="AL33" i="19"/>
  <c r="T13" i="19"/>
  <c r="Z33" i="19"/>
  <c r="Z47" i="19"/>
  <c r="T7" i="19"/>
  <c r="AL37" i="19"/>
  <c r="T17" i="19"/>
  <c r="Z17" i="19"/>
  <c r="AF7" i="19"/>
  <c r="AF37" i="19"/>
  <c r="N17" i="19"/>
  <c r="AF27" i="19"/>
  <c r="AF21"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F40"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F22" i="1"/>
  <c r="AA17" i="19"/>
  <c r="O7" i="19"/>
  <c r="AA37" i="19"/>
  <c r="AA27" i="19"/>
  <c r="AM27" i="19"/>
  <c r="U17" i="19"/>
  <c r="U47" i="19"/>
  <c r="AG17" i="19"/>
  <c r="O47" i="19"/>
  <c r="Z40" i="19"/>
  <c r="AF39"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N41" i="1" l="1"/>
  <c r="O41" i="1" s="1"/>
  <c r="N11" i="1"/>
  <c r="O11" i="1" s="1"/>
  <c r="N29" i="1"/>
  <c r="O29" i="1" s="1"/>
  <c r="N23" i="1"/>
  <c r="O23" i="1" s="1"/>
  <c r="N53" i="1"/>
  <c r="O53" i="1" s="1"/>
  <c r="N47" i="1"/>
  <c r="O47" i="1" s="1"/>
  <c r="N35" i="1"/>
  <c r="O35" i="1" s="1"/>
  <c r="N17" i="1"/>
  <c r="O17" i="1" s="1"/>
  <c r="N65" i="1"/>
  <c r="O65" i="1" s="1"/>
  <c r="N59" i="1"/>
  <c r="O59" i="1" s="1"/>
  <c r="X6" i="18" l="1"/>
  <c r="AJ30" i="18"/>
  <c r="R22" i="18"/>
  <c r="L6" i="18"/>
  <c r="R30" i="18"/>
  <c r="X22" i="18"/>
  <c r="X38" i="18"/>
  <c r="AD38" i="18"/>
  <c r="Q17" i="1"/>
  <c r="AD22" i="18"/>
  <c r="P17" i="1"/>
  <c r="AE17"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Q35" i="1"/>
  <c r="L32" i="18"/>
  <c r="X8" i="18"/>
  <c r="X24" i="18"/>
  <c r="AJ8" i="18"/>
  <c r="P35" i="1"/>
  <c r="R40" i="18"/>
  <c r="L40" i="18"/>
  <c r="X16" i="18"/>
  <c r="L24" i="18"/>
  <c r="AJ24" i="18"/>
  <c r="X32" i="18"/>
  <c r="AJ40" i="18"/>
  <c r="R16" i="18"/>
  <c r="AD40" i="18"/>
  <c r="AD32" i="18"/>
  <c r="AD16" i="18"/>
  <c r="P47" i="1"/>
  <c r="J42" i="18"/>
  <c r="P34" i="18"/>
  <c r="AB18" i="18"/>
  <c r="AB42" i="18"/>
  <c r="AH34" i="18"/>
  <c r="P10" i="18"/>
  <c r="V34" i="18"/>
  <c r="P42" i="18"/>
  <c r="V42" i="18"/>
  <c r="AH42" i="18"/>
  <c r="AB26" i="18"/>
  <c r="AH26" i="18"/>
  <c r="V26" i="18"/>
  <c r="AB34" i="18"/>
  <c r="V10" i="18"/>
  <c r="AH18" i="18"/>
  <c r="J34" i="18"/>
  <c r="J10" i="18"/>
  <c r="AB10" i="18"/>
  <c r="J18" i="18"/>
  <c r="Q47" i="1"/>
  <c r="P26" i="18"/>
  <c r="J26" i="18"/>
  <c r="AH10" i="18"/>
  <c r="P18" i="18"/>
  <c r="V18" i="18"/>
  <c r="X42" i="18"/>
  <c r="AD34" i="18"/>
  <c r="AD10" i="18"/>
  <c r="AD26" i="18"/>
  <c r="L10" i="18"/>
  <c r="L42" i="18"/>
  <c r="L26" i="18"/>
  <c r="X18" i="18"/>
  <c r="X34" i="18"/>
  <c r="X10" i="18"/>
  <c r="R18" i="18"/>
  <c r="AJ10" i="18"/>
  <c r="AD42" i="18"/>
  <c r="AJ34" i="18"/>
  <c r="R26" i="18"/>
  <c r="P53" i="1"/>
  <c r="L18" i="18"/>
  <c r="AJ26" i="18"/>
  <c r="AD18" i="18"/>
  <c r="R34" i="18"/>
  <c r="L34" i="18"/>
  <c r="AJ42" i="18"/>
  <c r="R10" i="18"/>
  <c r="R42" i="18"/>
  <c r="X26" i="18"/>
  <c r="AJ18" i="18"/>
  <c r="Q53" i="1"/>
  <c r="T14" i="18"/>
  <c r="AL38" i="18"/>
  <c r="N14" i="18"/>
  <c r="Z6" i="18"/>
  <c r="T38" i="18"/>
  <c r="T22" i="18"/>
  <c r="AL14" i="18"/>
  <c r="N22" i="18"/>
  <c r="Q23" i="1"/>
  <c r="AF22" i="18"/>
  <c r="N6" i="18"/>
  <c r="AF6" i="18"/>
  <c r="AF38" i="18"/>
  <c r="P23" i="1"/>
  <c r="N38" i="18"/>
  <c r="AL30" i="18"/>
  <c r="AL22" i="18"/>
  <c r="T6" i="18"/>
  <c r="AF14" i="18"/>
  <c r="AF30" i="18"/>
  <c r="Z22" i="18"/>
  <c r="T30" i="18"/>
  <c r="Z30" i="18"/>
  <c r="AL6" i="18"/>
  <c r="Z14" i="18"/>
  <c r="Z38" i="18"/>
  <c r="N30" i="18"/>
  <c r="J40" i="18"/>
  <c r="AB40" i="18"/>
  <c r="AH32" i="18"/>
  <c r="AB24" i="18"/>
  <c r="V16" i="18"/>
  <c r="P29" i="1"/>
  <c r="J16" i="18"/>
  <c r="P32" i="18"/>
  <c r="V24" i="18"/>
  <c r="P24" i="18"/>
  <c r="V40" i="18"/>
  <c r="P16" i="18"/>
  <c r="P40" i="18"/>
  <c r="V32" i="18"/>
  <c r="AH16" i="18"/>
  <c r="AB16" i="18"/>
  <c r="V8" i="18"/>
  <c r="AH24" i="18"/>
  <c r="AH8" i="18"/>
  <c r="AH40" i="18"/>
  <c r="J8" i="18"/>
  <c r="AB32" i="18"/>
  <c r="AB8" i="18"/>
  <c r="J24" i="18"/>
  <c r="J32" i="18"/>
  <c r="P8" i="18"/>
  <c r="Q29" i="1"/>
  <c r="Z42" i="18"/>
  <c r="T18" i="18"/>
  <c r="AF34" i="18"/>
  <c r="AF42" i="18"/>
  <c r="N42" i="18"/>
  <c r="Z18" i="18"/>
  <c r="AL10" i="18"/>
  <c r="AL26" i="18"/>
  <c r="AF26" i="18"/>
  <c r="Z10" i="18"/>
  <c r="N18" i="18"/>
  <c r="T26" i="18"/>
  <c r="AF10" i="18"/>
  <c r="T34" i="18"/>
  <c r="N26" i="18"/>
  <c r="AL18" i="18"/>
  <c r="N10" i="18"/>
  <c r="AF18" i="18"/>
  <c r="Z26" i="18"/>
  <c r="AL34" i="18"/>
  <c r="P59" i="1"/>
  <c r="Z34" i="18"/>
  <c r="T10" i="18"/>
  <c r="Q59" i="1"/>
  <c r="AL42" i="18"/>
  <c r="N34" i="18"/>
  <c r="T42" i="18"/>
  <c r="P14" i="18"/>
  <c r="V22" i="18"/>
  <c r="V14" i="18"/>
  <c r="P22" i="18"/>
  <c r="V38" i="18"/>
  <c r="AH14" i="18"/>
  <c r="AH38" i="18"/>
  <c r="J14" i="18"/>
  <c r="AB22" i="18"/>
  <c r="V30" i="18"/>
  <c r="AB14" i="18"/>
  <c r="AB38" i="18"/>
  <c r="J30" i="18"/>
  <c r="P38" i="18"/>
  <c r="AB6" i="18"/>
  <c r="P11" i="1"/>
  <c r="AE11" i="1" s="1"/>
  <c r="AH30" i="18"/>
  <c r="J38" i="18"/>
  <c r="AH6" i="18"/>
  <c r="V6" i="18"/>
  <c r="AB30" i="18"/>
  <c r="J22" i="18"/>
  <c r="J6" i="18"/>
  <c r="P30" i="18"/>
  <c r="AH22" i="18"/>
  <c r="P6" i="18"/>
  <c r="Q11" i="1"/>
  <c r="AH12" i="18"/>
  <c r="J20" i="18"/>
  <c r="J44" i="18"/>
  <c r="AB28" i="18"/>
  <c r="P28" i="18"/>
  <c r="Q65" i="1"/>
  <c r="P12" i="18"/>
  <c r="AH20" i="18"/>
  <c r="P44" i="18"/>
  <c r="AB12" i="18"/>
  <c r="P20" i="18"/>
  <c r="J36" i="18"/>
  <c r="P36" i="18"/>
  <c r="AB44" i="18"/>
  <c r="V44" i="18"/>
  <c r="J28" i="18"/>
  <c r="AH36" i="18"/>
  <c r="V12" i="18"/>
  <c r="V28" i="18"/>
  <c r="AH44" i="18"/>
  <c r="AB20" i="18"/>
  <c r="AB36" i="18"/>
  <c r="AH28" i="18"/>
  <c r="V36" i="18"/>
  <c r="V20" i="18"/>
  <c r="P65" i="1"/>
  <c r="AE65" i="1" s="1"/>
  <c r="AD65" i="1" s="1"/>
  <c r="J12" i="18"/>
  <c r="AF24" i="18"/>
  <c r="AF32" i="18"/>
  <c r="T40" i="18"/>
  <c r="P41" i="1"/>
  <c r="Z40" i="18"/>
  <c r="AL8" i="18"/>
  <c r="AF8" i="18"/>
  <c r="T8" i="18"/>
  <c r="Z16" i="18"/>
  <c r="T24" i="18"/>
  <c r="AL24" i="18"/>
  <c r="Z32" i="18"/>
  <c r="N32" i="18"/>
  <c r="N16" i="18"/>
  <c r="Z8" i="18"/>
  <c r="AL40" i="18"/>
  <c r="N8" i="18"/>
  <c r="N24" i="18"/>
  <c r="T32" i="18"/>
  <c r="T16" i="18"/>
  <c r="AF40" i="18"/>
  <c r="AF16" i="18"/>
  <c r="AL32" i="18"/>
  <c r="N40" i="18"/>
  <c r="Z24" i="18"/>
  <c r="AL16" i="18"/>
  <c r="Q41" i="1"/>
  <c r="AD17" i="1" l="1"/>
  <c r="V47" i="19" s="1"/>
  <c r="AE18" i="1"/>
  <c r="AD18" i="1" s="1"/>
  <c r="AH7" i="19"/>
  <c r="J27" i="19"/>
  <c r="AB7" i="19"/>
  <c r="P37" i="19"/>
  <c r="P27" i="19"/>
  <c r="AB47" i="19"/>
  <c r="P47" i="19"/>
  <c r="J37" i="19"/>
  <c r="V7" i="19"/>
  <c r="P17" i="19"/>
  <c r="AB17" i="19"/>
  <c r="P7" i="19"/>
  <c r="J47" i="19"/>
  <c r="AB27" i="19"/>
  <c r="AF17" i="1"/>
  <c r="AH37" i="19"/>
  <c r="V17" i="19"/>
  <c r="J7" i="19"/>
  <c r="AH27" i="19"/>
  <c r="V27" i="19"/>
  <c r="J17" i="19"/>
  <c r="AB37" i="19"/>
  <c r="AH47" i="19"/>
  <c r="V37" i="19"/>
  <c r="AD11" i="1"/>
  <c r="P16" i="19" s="1"/>
  <c r="AE12" i="1"/>
  <c r="AD12" i="1" s="1"/>
  <c r="V25" i="19"/>
  <c r="V45" i="19"/>
  <c r="J15" i="19"/>
  <c r="AB45" i="19"/>
  <c r="AH25" i="19"/>
  <c r="AH55" i="19"/>
  <c r="AB15" i="19"/>
  <c r="P15" i="19"/>
  <c r="P45" i="19"/>
  <c r="V15" i="19"/>
  <c r="J35" i="19"/>
  <c r="AH45" i="19"/>
  <c r="J25" i="19"/>
  <c r="AB35" i="19"/>
  <c r="AH15" i="19"/>
  <c r="V35" i="19"/>
  <c r="J55" i="19"/>
  <c r="AB55" i="19"/>
  <c r="AF65" i="1"/>
  <c r="AB25" i="19"/>
  <c r="AH35" i="19"/>
  <c r="P55" i="19"/>
  <c r="J45" i="19"/>
  <c r="P25" i="19"/>
  <c r="P35" i="19"/>
  <c r="V55" i="19"/>
  <c r="AH17" i="19" l="1"/>
  <c r="W37" i="19"/>
  <c r="Q47" i="19"/>
  <c r="AI47" i="19"/>
  <c r="AC37" i="19"/>
  <c r="K37" i="19"/>
  <c r="AI27" i="19"/>
  <c r="K7" i="19"/>
  <c r="W17" i="19"/>
  <c r="AC27" i="19"/>
  <c r="W47" i="19"/>
  <c r="K27" i="19"/>
  <c r="W27" i="19"/>
  <c r="K47" i="19"/>
  <c r="AC47" i="19"/>
  <c r="AC17" i="19"/>
  <c r="Q37" i="19"/>
  <c r="AI7" i="19"/>
  <c r="W7" i="19"/>
  <c r="Q27" i="19"/>
  <c r="AI37" i="19"/>
  <c r="AC7" i="19"/>
  <c r="Q7" i="19"/>
  <c r="Q17" i="19"/>
  <c r="AI17" i="19"/>
  <c r="AF18" i="1"/>
  <c r="K17" i="19"/>
  <c r="W38" i="19"/>
  <c r="AI28" i="19"/>
  <c r="K38" i="19"/>
  <c r="W48" i="19"/>
  <c r="Q38" i="19"/>
  <c r="AI38" i="19"/>
  <c r="AC8" i="19"/>
  <c r="AI8" i="19"/>
  <c r="AC38" i="19"/>
  <c r="Q28" i="19"/>
  <c r="W28" i="19"/>
  <c r="W8" i="19"/>
  <c r="K48" i="19"/>
  <c r="K18" i="19"/>
  <c r="K8" i="19"/>
  <c r="AC28" i="19"/>
  <c r="AI18" i="19"/>
  <c r="K28" i="19"/>
  <c r="Q18" i="19"/>
  <c r="AC18" i="19"/>
  <c r="W18" i="19"/>
  <c r="Q48" i="19"/>
  <c r="AI48" i="19"/>
  <c r="Q8" i="19"/>
  <c r="AC48" i="19"/>
  <c r="P38" i="19"/>
  <c r="AH38" i="19"/>
  <c r="P48" i="19"/>
  <c r="AB18" i="19"/>
  <c r="J8" i="19"/>
  <c r="J18" i="19"/>
  <c r="AH8" i="19"/>
  <c r="AB48" i="19"/>
  <c r="AH48" i="19"/>
  <c r="AH18" i="19"/>
  <c r="V18" i="19"/>
  <c r="J38" i="19"/>
  <c r="J28" i="19"/>
  <c r="V28" i="19"/>
  <c r="P28" i="19"/>
  <c r="AB28" i="19"/>
  <c r="AH28" i="19"/>
  <c r="V48" i="19"/>
  <c r="V8" i="19"/>
  <c r="P18" i="19"/>
  <c r="J48" i="19"/>
  <c r="AB8" i="19"/>
  <c r="V38" i="19"/>
  <c r="AB38" i="19"/>
  <c r="P8" i="19"/>
  <c r="V36" i="19"/>
  <c r="V6" i="19"/>
  <c r="V16" i="19"/>
  <c r="P26" i="19"/>
  <c r="J26" i="19"/>
  <c r="V26" i="19"/>
  <c r="J36" i="19"/>
  <c r="J16" i="19"/>
  <c r="P36" i="19"/>
  <c r="AB26" i="19"/>
  <c r="AB36" i="19"/>
  <c r="J6" i="19"/>
  <c r="P46" i="19"/>
  <c r="AB6" i="19"/>
  <c r="AH36" i="19"/>
  <c r="AB46" i="19"/>
  <c r="AH46" i="19"/>
  <c r="V46" i="19"/>
  <c r="AH16" i="19"/>
  <c r="AH26" i="19"/>
  <c r="AH6" i="19"/>
  <c r="J46" i="19"/>
  <c r="AF11" i="1"/>
  <c r="AB16" i="19"/>
  <c r="P6" i="19"/>
  <c r="W36" i="19"/>
  <c r="AC36" i="19"/>
  <c r="K16" i="19"/>
  <c r="AI36" i="19"/>
  <c r="K46" i="19"/>
  <c r="AI46" i="19"/>
  <c r="AC46" i="19"/>
  <c r="Q46" i="19"/>
  <c r="AC26" i="19"/>
  <c r="AC16" i="19"/>
  <c r="W16" i="19"/>
  <c r="K36" i="19"/>
  <c r="Q26" i="19"/>
  <c r="AF12" i="1"/>
  <c r="Q6" i="19"/>
  <c r="K6" i="19"/>
  <c r="Q16" i="19"/>
  <c r="Q36" i="19"/>
  <c r="AC6" i="19"/>
  <c r="AI6" i="19"/>
  <c r="AI16" i="19"/>
  <c r="W6" i="19"/>
  <c r="AI26" i="19"/>
  <c r="W26" i="19"/>
  <c r="K26" i="19"/>
  <c r="W46" i="19"/>
  <c r="B223" i="13"/>
  <c r="B2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Andru</author>
    <author>User</author>
  </authors>
  <commentList>
    <comment ref="D6" authorId="0" shapeId="0" xr:uid="{00000000-0006-0000-0100-000001000000}">
      <text>
        <r>
          <rPr>
            <b/>
            <sz val="9"/>
            <color indexed="81"/>
            <rFont val="Tahoma"/>
            <family val="2"/>
          </rPr>
          <t>Traer la Información de la caracterización del proceso.</t>
        </r>
      </text>
    </comment>
    <comment ref="D7" authorId="0" shapeId="0" xr:uid="{00000000-0006-0000-0100-000002000000}">
      <text>
        <r>
          <rPr>
            <b/>
            <sz val="9"/>
            <color indexed="81"/>
            <rFont val="Tahoma"/>
            <family val="2"/>
          </rPr>
          <t>Traer la Información de la caracterización del proceso.</t>
        </r>
        <r>
          <rPr>
            <sz val="9"/>
            <color indexed="81"/>
            <rFont val="Tahoma"/>
            <family val="2"/>
          </rPr>
          <t xml:space="preserve">
</t>
        </r>
      </text>
    </comment>
    <comment ref="A9" authorId="0" shapeId="0" xr:uid="{00000000-0006-0000-0100-000003000000}">
      <text>
        <r>
          <rPr>
            <b/>
            <sz val="9"/>
            <color indexed="81"/>
            <rFont val="Tahoma"/>
            <family val="2"/>
          </rPr>
          <t>Número consecutivo de los riesgos que se identifican.</t>
        </r>
        <r>
          <rPr>
            <sz val="9"/>
            <color indexed="81"/>
            <rFont val="Tahoma"/>
            <family val="2"/>
          </rPr>
          <t xml:space="preserve">
</t>
        </r>
      </text>
    </comment>
    <comment ref="B9" authorId="0" shapeId="0" xr:uid="{00000000-0006-0000-0100-000004000000}">
      <text>
        <r>
          <rPr>
            <b/>
            <sz val="9"/>
            <color indexed="81"/>
            <rFont val="Tahoma"/>
            <family val="2"/>
          </rPr>
          <t>Consulte su matriz de activos de información.</t>
        </r>
      </text>
    </comment>
    <comment ref="C9" authorId="1" shapeId="0" xr:uid="{00000000-0006-0000-0100-000005000000}">
      <text>
        <r>
          <rPr>
            <b/>
            <sz val="9"/>
            <color indexed="81"/>
            <rFont val="Tahoma"/>
            <family val="2"/>
          </rPr>
          <t>Consulte su matriz de activos de información.</t>
        </r>
      </text>
    </comment>
    <comment ref="E9" authorId="0" shapeId="0" xr:uid="{00000000-0006-0000-0100-000006000000}">
      <text>
        <r>
          <rPr>
            <b/>
            <sz val="9"/>
            <color indexed="81"/>
            <rFont val="Tahoma"/>
            <family val="2"/>
          </rPr>
          <t>En el manual de gestión de riesgos de seguridad de la información, encontrará sugerencias de AMENAZAS que puede usar o ajustar según se requiera.</t>
        </r>
      </text>
    </comment>
    <comment ref="F9" authorId="0" shapeId="0" xr:uid="{00000000-0006-0000-0100-00000700000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T9" authorId="0" shapeId="0" xr:uid="{00000000-0006-0000-0100-000008000000}">
      <text>
        <r>
          <rPr>
            <b/>
            <sz val="9"/>
            <color indexed="81"/>
            <rFont val="Tahoma"/>
            <family val="2"/>
          </rPr>
          <t>Este campo es automático y se diligencia al seleccionar el tipo de control (Columna 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<sst xmlns="http://schemas.openxmlformats.org/spreadsheetml/2006/main" count="467" uniqueCount="313">
  <si>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</si>
  <si>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</si>
  <si>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</si>
  <si>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</si>
  <si>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</si>
  <si>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</si>
  <si>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</si>
  <si>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</si>
  <si>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</si>
  <si>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</si>
  <si>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</si>
  <si>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</si>
  <si>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</si>
  <si>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</si>
  <si>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</si>
  <si>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</si>
  <si>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</si>
  <si>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</si>
  <si>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</si>
  <si>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</si>
  <si>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</si>
  <si>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</si>
  <si>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</si>
  <si>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</si>
  <si>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</si>
  <si>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</si>
  <si>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</si>
  <si>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</si>
  <si>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</si>
  <si>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</si>
  <si>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</si>
  <si>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</si>
  <si>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</si>
  <si>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</si>
  <si>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</si>
  <si>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</si>
  <si>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</si>
  <si>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</si>
  <si>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</si>
  <si>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</si>
  <si>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</si>
  <si>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</si>
  <si>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</si>
  <si>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</si>
  <si>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</si>
  <si>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</si>
  <si>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</si>
  <si>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</si>
  <si>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</si>
  <si>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</si>
  <si>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</si>
  <si>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</si>
  <si>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</si>
  <si>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</si>
  <si>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</si>
  <si>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</si>
  <si>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</si>
  <si>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</si>
  <si>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</si>
  <si>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</si>
  <si>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</si>
  <si>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</si>
  <si>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</si>
  <si>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</si>
  <si>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</si>
  <si>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</si>
  <si>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</si>
  <si>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</si>
  <si>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</si>
  <si>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</si>
  <si>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</si>
  <si>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</si>
  <si>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</si>
  <si>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</si>
  <si>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</si>
  <si>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</si>
  <si>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</si>
  <si>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</si>
  <si>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</si>
  <si>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</si>
  <si>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</si>
  <si>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</si>
  <si>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</si>
  <si>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</si>
  <si>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</si>
  <si>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</si>
  <si>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</si>
  <si>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</si>
  <si>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</si>
  <si>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</si>
  <si>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</si>
  <si>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</si>
  <si>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</si>
  <si>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</si>
  <si>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</si>
  <si>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</si>
  <si>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</si>
  <si>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</si>
  <si>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</si>
  <si>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</si>
  <si>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</si>
  <si>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</si>
  <si>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</si>
  <si>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</si>
  <si>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</si>
  <si>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</si>
  <si>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</si>
  <si>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</si>
  <si>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</si>
  <si>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</si>
  <si>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</si>
  <si>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</si>
  <si>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</si>
  <si>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</si>
  <si>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</si>
  <si>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</si>
  <si>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</si>
  <si>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</si>
  <si>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</si>
  <si>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</si>
  <si>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</si>
  <si>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</si>
  <si>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</si>
  <si>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</si>
  <si>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</si>
  <si>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</si>
  <si>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</si>
  <si>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</si>
  <si>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</si>
  <si>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</si>
  <si>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</si>
  <si>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</si>
  <si>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</si>
  <si>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</si>
  <si>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</si>
  <si>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</si>
  <si>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</si>
  <si>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</si>
  <si>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</si>
  <si>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</si>
  <si>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</si>
  <si>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</si>
  <si>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</si>
  <si>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</si>
  <si>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</si>
  <si>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</si>
  <si>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</si>
  <si>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</si>
  <si>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</si>
  <si>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</si>
  <si>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</si>
  <si>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</si>
  <si>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</si>
  <si>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</si>
  <si>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</si>
  <si>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</si>
  <si>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</si>
  <si>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</si>
  <si>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</si>
  <si>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</si>
  <si>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</si>
  <si>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</si>
  <si>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</si>
  <si>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</si>
  <si>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</si>
  <si>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</si>
  <si>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</si>
  <si>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</si>
  <si>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</si>
  <si>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</si>
  <si>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</si>
  <si>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</si>
  <si>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</si>
  <si>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</si>
  <si>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</si>
  <si>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</si>
  <si>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</si>
  <si>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</si>
  <si>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</si>
  <si>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</si>
  <si>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</si>
  <si>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</si>
  <si>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</si>
  <si>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</si>
  <si>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</si>
  <si>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</si>
  <si>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</si>
  <si>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</si>
  <si>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</si>
  <si>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</si>
  <si>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</si>
  <si>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</si>
  <si>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</si>
  <si>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</si>
  <si>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</si>
  <si>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</si>
  <si>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</si>
  <si>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</si>
  <si>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</si>
  <si>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</si>
  <si>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</si>
  <si>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</si>
  <si>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</si>
  <si>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</si>
  <si>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</si>
  <si>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</si>
  <si>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</si>
  <si>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</si>
  <si>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</si>
  <si>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</si>
  <si>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</si>
  <si>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</si>
  <si>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</si>
  <si>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</si>
  <si>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</si>
  <si>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</si>
  <si>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</si>
  <si>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</si>
  <si>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</si>
  <si>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</si>
  <si>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</si>
  <si>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</si>
  <si>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</si>
  <si>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</si>
  <si>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</si>
  <si>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</si>
  <si>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</si>
  <si>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</si>
  <si>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</si>
  <si>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</si>
  <si>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</si>
  <si>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</si>
  <si>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</si>
  <si>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</si>
  <si>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</si>
  <si>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</si>
  <si>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</si>
  <si>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</si>
  <si>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OFICINA DE CONTROL INTERNO</t>
  </si>
  <si>
    <t>OFICINA ASESORA DE COMUNICACIONES</t>
  </si>
  <si>
    <t>OFICINA ASESORA DE PLANEACIÓN</t>
  </si>
  <si>
    <t>OFICINA DE TECNOLOGÍAS DE LA INFORMACIÓN</t>
  </si>
  <si>
    <t>DIRECCIÓN DE FOMENTO</t>
  </si>
  <si>
    <t>DIRECCIÓN DE ASUNTOS LOCALES Y PARTICIPACIÓN</t>
  </si>
  <si>
    <t>DIRECCIÓN DE PERSONAS JURÍDICAS</t>
  </si>
  <si>
    <t>GESTIÓN DOCUMENTAL</t>
  </si>
  <si>
    <t xml:space="preserve">GESTIÓN DEL DIRECCIONAMIENTO ESTRATÉGICO </t>
  </si>
  <si>
    <t>GESTIÓN  JURÍDICA</t>
  </si>
  <si>
    <t xml:space="preserve">GESTIÓN ADMINISTRATIVA </t>
  </si>
  <si>
    <t>GESTIÓN CONTRACTUAL</t>
  </si>
  <si>
    <t xml:space="preserve">GESTIÓN DE INVESTIGACIONES, OBSERVACIONES Y ANALÍTICA DE LA CULTURA, LA RECREACIÓN Y EL DEPORTE </t>
  </si>
  <si>
    <t xml:space="preserve">GESTIÓN DE LA APROPIACIÓN DE LA INFRAESTRUCTURA Y PATRIMONIO CULTURAL  
</t>
  </si>
  <si>
    <t xml:space="preserve">GESTIÓN DE LA COMUNICACIÓN ESTRATÉGICA  </t>
  </si>
  <si>
    <t xml:space="preserve">GESTIÓN DE LA CULTURA CIUDADANA  </t>
  </si>
  <si>
    <t xml:space="preserve">GESTIÓN DE LA EVALUACIÓN INDEPENDIENTE </t>
  </si>
  <si>
    <t xml:space="preserve">GESTIÓN DE LA FORMULACIÓN Y SEGUIMIENTO DE POLÍTICA PÚBLICA </t>
  </si>
  <si>
    <t xml:space="preserve">GESTIÓN DE LA MEJORA CONTINUA </t>
  </si>
  <si>
    <t xml:space="preserve">GESTIÓN DE LA PARTICIPACIÓN CIUDADANA </t>
  </si>
  <si>
    <t xml:space="preserve">GESTIÓN DE LA PROMOCIÓN DE AGENTES Y PRÁCTICAS CULTURALES Y RECREODEPORTIVAS  </t>
  </si>
  <si>
    <t xml:space="preserve">GESTIÓN DE TALENTO HUMANO </t>
  </si>
  <si>
    <t xml:space="preserve">GESTIÓN DE TECNOLOGÍAS DE LA INFORMACIÓN Y LAS COMUNICACIONES  </t>
  </si>
  <si>
    <t>GESTIÓN DEL CONOCIMIENTO Y LA INNOVACIÒN</t>
  </si>
  <si>
    <t>GESTIÓN DEL CONTROL DISCIPLINARIO INTERNO</t>
  </si>
  <si>
    <t xml:space="preserve">GESTIÓN DEL RELACIONAMIENTO CON LA CIUDADANÍA 
</t>
  </si>
  <si>
    <t xml:space="preserve">GESTIÓN FINANCIERA  </t>
  </si>
  <si>
    <t>GESTIÒN DE LECTURA, ESCRITURA Y ORALIDAD</t>
  </si>
  <si>
    <t>CONTRATOS</t>
  </si>
  <si>
    <t>DESPACHO</t>
  </si>
  <si>
    <t>DIRECCIÓN  DE LECTURA Y BIBLIOTECAS</t>
  </si>
  <si>
    <t>DIRECCIÓN DE ARTE, CULTURA Y PATRIMONIO</t>
  </si>
  <si>
    <t>DIRECCIÓN DE ECONOMIA ESTUDIOS Y POLÍTICA</t>
  </si>
  <si>
    <t>DIRECCIÓN DE GESTIÓN CORPORATIVA Y RELACIÓN CON EL CIUDADANO</t>
  </si>
  <si>
    <t>DIRECCIÓN DE OBSERVATIORIO Y GESTIÓN DEL CONOCIMIENTO CULTURAL</t>
  </si>
  <si>
    <t>DIRECCIÓN DE REDES A ACCIÓN COLECTIVA</t>
  </si>
  <si>
    <t>DIRECCIÓN DE TRANSFORMACIONES CULTURALES</t>
  </si>
  <si>
    <t>FINANCIERA</t>
  </si>
  <si>
    <t>OFICINA DE CONTROL DISCIPLINARIO INTERNO</t>
  </si>
  <si>
    <t>OFICINA JURÍDICA</t>
  </si>
  <si>
    <t>SERVICIOS ADMINISTRTAIVOS</t>
  </si>
  <si>
    <t>SUBDIRECCIÓN DE GESTIÓN CULTURAL Y ARTISTICA</t>
  </si>
  <si>
    <t>SUBDIRECCIÓN DE INFRAESTRUCTURA Y PATRIMONIO CULTURAL</t>
  </si>
  <si>
    <t>SUBSECRETARÍA DE GOBERNANZA</t>
  </si>
  <si>
    <t xml:space="preserve">SUBSECRETARÍA DISTRITAL DE CULTURA CIUDADANA Y GESTIÓN DEL CONOCIMIENTO </t>
  </si>
  <si>
    <t>TALENTO HUMANO</t>
  </si>
  <si>
    <t>NOMBRE DEL ACTIVO</t>
  </si>
  <si>
    <t>Diligencie el objetivo del proceso o dependencia. Consulte la caracterización del proceso o dependencia en MIPG</t>
  </si>
  <si>
    <t>Diligencie el alcance del proceso o dependencia. Consulte la caracterización del proceso o dependencia en MIPG</t>
  </si>
  <si>
    <r>
      <t xml:space="preserve">Circunstancias bajo las cuales se presenta el riesgo, es la situación más evidente frente al riesgo, redacte de la forma más concreta posible. 
En el manual de gestión de riesgos de seguridad de la información, consulte el numeral </t>
    </r>
    <r>
      <rPr>
        <b/>
        <sz val="9"/>
        <rFont val="Arial Narrow"/>
        <family val="2"/>
      </rPr>
      <t>10.3</t>
    </r>
    <r>
      <rPr>
        <sz val="9"/>
        <rFont val="Arial Narrow"/>
        <family val="2"/>
      </rPr>
      <t xml:space="preserve"> </t>
    </r>
    <r>
      <rPr>
        <b/>
        <sz val="9"/>
        <rFont val="Arial Narrow"/>
        <family val="2"/>
      </rPr>
      <t>Amenazas</t>
    </r>
    <r>
      <rPr>
        <sz val="9"/>
        <rFont val="Arial Narrow"/>
        <family val="2"/>
      </rPr>
      <t>, verifique en la tabla de Amenazas si hay algunas de las amenazas comunes que le aplique, o adáptela de acuerdo a su necesidad, recuerde que la información allí consignada es una guía de referencia.</t>
    </r>
  </si>
  <si>
    <r>
      <t>Causa principal o básica, corresponde a las razones por la cuales se puede presentar el riesgo por la falta de un control, redacte de la forma más concreta posible.
En el manual de gestión de riesgos de seguridad de la información, consulte el numeral</t>
    </r>
    <r>
      <rPr>
        <b/>
        <sz val="9"/>
        <rFont val="Arial Narrow"/>
        <family val="2"/>
      </rPr>
      <t xml:space="preserve"> 10.2 Vulnerabilidades</t>
    </r>
    <r>
      <rPr>
        <sz val="9"/>
        <rFont val="Arial Narrow"/>
        <family val="2"/>
      </rPr>
      <t>, verifique en la tabla de Vulnerabilidades si hay algunas de las vulnerabilidades comunes que le aplique, o adáptela de acuerdo a su necesidad, recuerde que la información allí consignada es una guía de referencia.</t>
    </r>
  </si>
  <si>
    <r>
      <t xml:space="preserve">Seleccione de la Lista desplegable el tipo de riesgo, hay 3 riesgos asociados a seguridad de la información y 4 asociados a bases de datos personales.
En el manual de gestión de riesgos de seguridad de la información, consulte el numeral </t>
    </r>
    <r>
      <rPr>
        <b/>
        <sz val="9"/>
        <rFont val="Arial Narrow"/>
        <family val="2"/>
      </rPr>
      <t>10.1 Riesgos de Seguridad de la Información y Bases de Datos Personales.</t>
    </r>
  </si>
  <si>
    <r>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t>
    </r>
    <r>
      <rPr>
        <b/>
        <sz val="9"/>
        <rFont val="Arial Narrow"/>
        <family val="2"/>
      </rPr>
      <t>12.1 Probabilidad</t>
    </r>
    <r>
      <rPr>
        <sz val="9"/>
        <rFont val="Arial Narrow"/>
        <family val="2"/>
      </rPr>
      <t>, en el cual se encuentra la tabla Análisis de Probabilidad, con la descripción de cada uno, de igual forma también se encuentra en el instrumento en la hoja “Tabla Probabilidad”.</t>
    </r>
  </si>
  <si>
    <r>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t>
    </r>
    <r>
      <rPr>
        <b/>
        <sz val="9"/>
        <rFont val="Arial Narrow"/>
        <family val="2"/>
      </rPr>
      <t>12.2 Impacto</t>
    </r>
    <r>
      <rPr>
        <sz val="9"/>
        <rFont val="Arial Narrow"/>
        <family val="2"/>
      </rPr>
      <t>, en el cual se encuentra la tabla Análisis de Impacto.</t>
    </r>
  </si>
  <si>
    <t>Formato Mapa Riesgos SCRD 2023</t>
  </si>
  <si>
    <t xml:space="preserve">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t>
  </si>
  <si>
    <t>Nombre del Activo</t>
  </si>
  <si>
    <t>Consulte la matriz de activos de su proceso o dependencia según corresponda,   y copie en nombre del activo identificado para iniiar con la identificación de sus riesgos.</t>
  </si>
  <si>
    <t xml:space="preserve">INFORMES </t>
  </si>
  <si>
    <t>Modificación total o parcial de la información contenida en el documento</t>
  </si>
  <si>
    <t>Fallas en la seguridad de la información del sistema de gestión documental Orfeo</t>
  </si>
  <si>
    <t>ACTAS   
INFORMES</t>
  </si>
  <si>
    <t>Posibilidad de  perdida de integridad  de la información  por la modificación total o parcial del contenido de las actas del Comité Institucional de Coordinación de Control Interno  o de los informes de auditoria interna.</t>
  </si>
  <si>
    <t>Por actualizaciones de la página web de  la SCRD.</t>
  </si>
  <si>
    <r>
      <t xml:space="preserve">Generacion automática de documentos en formato pdf
Por parte del profesional designado de la OCI, se hará la  verificación  semestral del cumplimiento de esta caracteristica en los documentos de la OCI.
</t>
    </r>
    <r>
      <rPr>
        <sz val="10"/>
        <rFont val="Arial Narrow"/>
        <family val="2"/>
      </rPr>
      <t xml:space="preserve">
Las verificaciones serán de forma aleatoria a los documentos de la OCI  y serán soportados por medio de pantallazos.</t>
    </r>
  </si>
  <si>
    <t>Al momento de la publicación de los informes en la página web, el profesional designado  toma pantallazo de publicación  y lo envia al Jefe de la Oficina .</t>
  </si>
  <si>
    <t xml:space="preserve">Establecimiento de roles de usuarios en el sistema de Información Orfeo.
Verificar semestralmente, por parte del profesional designado de la OCI, el cumplimientio de los roles establecidos en el sistema de Información Orfeo.  
Se soporrta con los pantallazos  que de realización de esta actividad. </t>
  </si>
  <si>
    <t>Denegación de servicio al consultar los informes de ley,  que deben ser publicados en la página web de la entidad, al momento de consulta por parte  de Entes de control</t>
  </si>
  <si>
    <t>Por fallas  técnicas en el servidor de la página web.</t>
  </si>
  <si>
    <t>Posibilidad de perdida de disponibilidad de  la página web, por fallas en el servidor impidiendo la consulta de los informes en la página web, generando sanciones disciplinarias para el (la)  jefe de la OCI.</t>
  </si>
  <si>
    <t>El profesional de la OCI, de forma semestral,  verificará  la existencia de los informes de ley  en  el sitio de transparencia y acceso a la información pública en  la página web de la Scrd
Se soporta con  pantallazos de la verificación en la página web, de los informes de ley.
Reportar a la Oficina Asesora de comunicaciones la falla presentada en la página web y hacer seguimiento de su restablecimiento..</t>
  </si>
  <si>
    <t>https://drive.google.com/drive/u/0/folders/1sCSMEF3tnmsEHCbZdRUvbQjPcYtYLS7v</t>
  </si>
  <si>
    <t>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t>
  </si>
  <si>
    <t>Inicia con la formulación del Plan Anual de Auditoría Interna (PAAI) y termina con la presentación  del informe de gestión de la labor de auditoría ante el Comité Institucional de Coordinación de  Control Interno</t>
  </si>
  <si>
    <t>202316005704100002E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</si>
</sst>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color rgb="FF000000"/>
      <name val="Calibri"/>
      <family val="2"/>
      <scheme val="minor"/>
    </font>
    <font>
      <sz val="11"/>
      <color theme="1"/>
      <name val="Calibri"/>
      <family val="2"/>
    </font>
    <font>
      <b/>
      <sz val="16"/>
      <color theme="1"/>
      <name val="Arial Narrow"/>
      <family val="2"/>
    </font>
    <font>
      <u/>
      <sz val="11"/>
      <color theme="10"/>
      <name val="Calibri"/>
      <family val="2"/>
      <scheme val="minor"/>
    </font>
    <font>
      <sz val="10"/>
      <color theme="1"/>
      <name val="Arial"/>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theme="7" tint="0.59999389629810485"/>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xf numFmtId="0" fontId="67" fillId="0" borderId="0" applyNumberFormat="0" applyFill="0" applyBorder="0" applyAlignment="0" applyProtection="0"/>
  </cellStyleXfs>
  <cellXfs count="43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17" borderId="33" xfId="5" applyFont="1" applyFill="1" applyBorder="1" applyAlignment="1">
      <alignment horizontal="center" vertical="center" wrapText="1"/>
    </xf>
    <xf numFmtId="0" fontId="59" fillId="17" borderId="77" xfId="5" applyFont="1" applyFill="1" applyBorder="1" applyAlignment="1">
      <alignment vertical="center" wrapText="1"/>
    </xf>
    <xf numFmtId="0" fontId="60"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76"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164" fontId="1" fillId="0" borderId="2" xfId="1" applyNumberFormat="1" applyFont="1" applyFill="1" applyBorder="1" applyAlignment="1">
      <alignment horizontal="center" vertical="top"/>
    </xf>
    <xf numFmtId="0" fontId="64" fillId="19" borderId="79" xfId="4" applyFont="1" applyFill="1" applyBorder="1" applyAlignment="1">
      <alignment horizontal="left" vertical="top" wrapText="1"/>
    </xf>
    <xf numFmtId="0" fontId="64" fillId="20" borderId="80" xfId="4" applyFont="1" applyFill="1" applyBorder="1" applyAlignment="1">
      <alignment horizontal="left" vertical="top" wrapText="1"/>
    </xf>
    <xf numFmtId="0" fontId="64" fillId="21" borderId="80" xfId="4" applyFont="1" applyFill="1" applyBorder="1" applyAlignment="1">
      <alignment horizontal="left" vertical="top" wrapText="1"/>
    </xf>
    <xf numFmtId="0" fontId="0" fillId="0" borderId="80" xfId="0" applyBorder="1" applyAlignment="1">
      <alignment horizontal="left" vertical="top"/>
    </xf>
    <xf numFmtId="0" fontId="64" fillId="3" borderId="80" xfId="4" applyFont="1" applyFill="1" applyBorder="1" applyAlignment="1">
      <alignment horizontal="left" vertical="top" wrapText="1"/>
    </xf>
    <xf numFmtId="0" fontId="64" fillId="0" borderId="80" xfId="4" applyFont="1" applyBorder="1" applyAlignment="1">
      <alignment horizontal="left" vertical="top"/>
    </xf>
    <xf numFmtId="0" fontId="64" fillId="19" borderId="80" xfId="4" applyFont="1" applyFill="1" applyBorder="1" applyAlignment="1">
      <alignment horizontal="left" vertical="top" wrapText="1"/>
    </xf>
    <xf numFmtId="0" fontId="64" fillId="0" borderId="81" xfId="4" applyFont="1" applyBorder="1"/>
    <xf numFmtId="0" fontId="65" fillId="3" borderId="79" xfId="0" applyFont="1" applyFill="1" applyBorder="1" applyAlignment="1">
      <alignment vertical="top" wrapText="1"/>
    </xf>
    <xf numFmtId="0" fontId="65" fillId="3" borderId="80" xfId="0" applyFont="1" applyFill="1" applyBorder="1" applyAlignment="1">
      <alignment vertical="top" wrapText="1"/>
    </xf>
    <xf numFmtId="0" fontId="65" fillId="3" borderId="81" xfId="0" applyFont="1" applyFill="1" applyBorder="1" applyAlignment="1">
      <alignment vertical="top" wrapText="1"/>
    </xf>
    <xf numFmtId="0" fontId="4" fillId="22" borderId="2" xfId="0" applyFont="1" applyFill="1" applyBorder="1" applyAlignment="1">
      <alignment horizontal="center" vertical="center" textRotation="90"/>
    </xf>
    <xf numFmtId="0" fontId="2" fillId="0" borderId="4" xfId="0" applyFont="1" applyBorder="1" applyAlignment="1" applyProtection="1">
      <alignment horizontal="center" vertical="top" wrapText="1"/>
      <protection locked="0"/>
    </xf>
    <xf numFmtId="0" fontId="1" fillId="0" borderId="4"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4" fillId="13" borderId="2" xfId="0" applyFont="1" applyFill="1" applyBorder="1" applyAlignment="1" applyProtection="1">
      <alignment horizontal="center" vertical="top" textRotation="90" wrapText="1"/>
      <protection hidden="1"/>
    </xf>
    <xf numFmtId="9" fontId="1" fillId="13" borderId="4" xfId="0" applyNumberFormat="1" applyFont="1" applyFill="1" applyBorder="1" applyAlignment="1" applyProtection="1">
      <alignment horizontal="center" vertical="top"/>
      <protection hidden="1"/>
    </xf>
    <xf numFmtId="0" fontId="4" fillId="13" borderId="2" xfId="0" applyFont="1" applyFill="1" applyBorder="1" applyAlignment="1" applyProtection="1">
      <alignment horizontal="center" vertical="top" textRotation="90"/>
      <protection hidden="1"/>
    </xf>
    <xf numFmtId="0" fontId="1" fillId="13" borderId="0" xfId="0" applyFont="1" applyFill="1"/>
    <xf numFmtId="0" fontId="1" fillId="3" borderId="2" xfId="0" applyFont="1" applyFill="1" applyBorder="1" applyAlignment="1" applyProtection="1">
      <alignment horizontal="center" vertical="top" textRotation="90"/>
      <protection locked="0"/>
    </xf>
    <xf numFmtId="9" fontId="1" fillId="3" borderId="2" xfId="0" applyNumberFormat="1" applyFont="1" applyFill="1" applyBorder="1" applyAlignment="1" applyProtection="1">
      <alignment horizontal="center" vertical="top"/>
      <protection hidden="1"/>
    </xf>
    <xf numFmtId="0" fontId="1" fillId="3" borderId="2" xfId="0" applyFont="1" applyFill="1" applyBorder="1" applyAlignment="1" applyProtection="1">
      <alignment horizontal="center" vertical="top"/>
      <protection hidden="1"/>
    </xf>
    <xf numFmtId="164" fontId="1" fillId="3" borderId="2" xfId="1" applyNumberFormat="1" applyFont="1" applyFill="1" applyBorder="1" applyAlignment="1">
      <alignment horizontal="center" vertical="top"/>
    </xf>
    <xf numFmtId="0" fontId="1" fillId="3" borderId="2" xfId="0" applyFont="1" applyFill="1" applyBorder="1" applyAlignment="1">
      <alignment horizontal="center" vertical="top"/>
    </xf>
    <xf numFmtId="0" fontId="2" fillId="3" borderId="4" xfId="0" applyFont="1" applyFill="1" applyBorder="1" applyAlignment="1" applyProtection="1">
      <alignment horizontal="center" vertical="top" wrapText="1"/>
      <protection locked="0"/>
    </xf>
    <xf numFmtId="0" fontId="1" fillId="3" borderId="8" xfId="0" applyFont="1" applyFill="1" applyBorder="1" applyAlignment="1" applyProtection="1">
      <alignment horizontal="center" vertical="top" wrapText="1"/>
      <protection locked="0"/>
    </xf>
    <xf numFmtId="0" fontId="67" fillId="0" borderId="0" xfId="6"/>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3" borderId="0" xfId="0" applyFont="1" applyFill="1" applyAlignment="1">
      <alignment horizontal="left" vertical="center"/>
    </xf>
    <xf numFmtId="0" fontId="26" fillId="22" borderId="28" xfId="0" applyFont="1" applyFill="1" applyBorder="1" applyAlignment="1">
      <alignment horizontal="center" vertical="center"/>
    </xf>
    <xf numFmtId="0" fontId="26" fillId="22" borderId="29" xfId="0" applyFont="1" applyFill="1" applyBorder="1" applyAlignment="1">
      <alignment horizontal="center" vertical="center"/>
    </xf>
    <xf numFmtId="0" fontId="26" fillId="22" borderId="30" xfId="0" applyFont="1" applyFill="1" applyBorder="1" applyAlignment="1">
      <alignment horizontal="center" vertical="center"/>
    </xf>
    <xf numFmtId="0" fontId="26" fillId="22" borderId="3" xfId="0" applyFont="1" applyFill="1" applyBorder="1" applyAlignment="1">
      <alignment horizontal="center" vertical="center"/>
    </xf>
    <xf numFmtId="0" fontId="26" fillId="22" borderId="31" xfId="0" applyFont="1" applyFill="1" applyBorder="1" applyAlignment="1">
      <alignment horizontal="center" vertical="center"/>
    </xf>
    <xf numFmtId="0" fontId="26" fillId="22" borderId="32" xfId="0" applyFont="1" applyFill="1" applyBorder="1" applyAlignment="1">
      <alignment horizontal="center" vertical="center"/>
    </xf>
    <xf numFmtId="0" fontId="25" fillId="22" borderId="6" xfId="0" applyFont="1" applyFill="1" applyBorder="1" applyAlignment="1">
      <alignment horizontal="center" vertical="center"/>
    </xf>
    <xf numFmtId="0" fontId="25" fillId="22" borderId="10" xfId="0" applyFont="1" applyFill="1" applyBorder="1" applyAlignment="1">
      <alignment horizontal="center" vertical="center"/>
    </xf>
    <xf numFmtId="0" fontId="25" fillId="22" borderId="7" xfId="0" applyFont="1" applyFill="1" applyBorder="1" applyAlignment="1">
      <alignment horizontal="center" vertical="center"/>
    </xf>
    <xf numFmtId="0" fontId="66" fillId="22" borderId="6" xfId="0" applyFont="1" applyFill="1" applyBorder="1" applyAlignment="1">
      <alignment horizontal="center" vertical="center"/>
    </xf>
    <xf numFmtId="0" fontId="66" fillId="22" borderId="10" xfId="0" applyFont="1" applyFill="1" applyBorder="1" applyAlignment="1">
      <alignment horizontal="center" vertical="center"/>
    </xf>
    <xf numFmtId="0" fontId="66" fillId="22" borderId="7" xfId="0" applyFont="1" applyFill="1" applyBorder="1" applyAlignment="1">
      <alignment horizontal="center" vertical="center"/>
    </xf>
    <xf numFmtId="0" fontId="4" fillId="22" borderId="2" xfId="0" applyFont="1" applyFill="1" applyBorder="1" applyAlignment="1">
      <alignment horizontal="center" vertical="center" wrapText="1"/>
    </xf>
    <xf numFmtId="0" fontId="27" fillId="22" borderId="4" xfId="0" applyFont="1" applyFill="1" applyBorder="1" applyAlignment="1">
      <alignment horizontal="center" vertical="center" textRotation="90"/>
    </xf>
    <xf numFmtId="0" fontId="27" fillId="22" borderId="5" xfId="0" applyFont="1" applyFill="1" applyBorder="1" applyAlignment="1">
      <alignment horizontal="center" vertical="center" textRotation="90"/>
    </xf>
    <xf numFmtId="0" fontId="4" fillId="22" borderId="4"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2" borderId="5"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4" xfId="0" applyFont="1" applyFill="1" applyBorder="1" applyAlignment="1">
      <alignment horizontal="center" vertical="center" textRotation="90" wrapText="1"/>
    </xf>
    <xf numFmtId="0" fontId="4" fillId="2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2" borderId="2" xfId="0" applyFont="1" applyFill="1" applyBorder="1" applyAlignment="1">
      <alignment horizontal="center" vertical="center" textRotation="90" wrapText="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22" borderId="8" xfId="0" applyFont="1" applyFill="1" applyBorder="1" applyAlignment="1">
      <alignment horizontal="center" vertical="center" wrapText="1"/>
    </xf>
    <xf numFmtId="0" fontId="4" fillId="22" borderId="9" xfId="0" applyFont="1" applyFill="1" applyBorder="1" applyAlignment="1">
      <alignment horizontal="center" vertical="center"/>
    </xf>
    <xf numFmtId="0" fontId="4" fillId="22" borderId="3" xfId="0" applyFont="1" applyFill="1" applyBorder="1" applyAlignment="1">
      <alignment horizontal="center" vertical="center"/>
    </xf>
    <xf numFmtId="0" fontId="4" fillId="22" borderId="9" xfId="0" applyFont="1" applyFill="1" applyBorder="1" applyAlignment="1">
      <alignment horizontal="center" vertical="center" wrapText="1"/>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6" xfId="0" applyFont="1" applyFill="1" applyBorder="1" applyAlignment="1" applyProtection="1">
      <alignment horizontal="left" vertical="center"/>
      <protection locked="0"/>
    </xf>
    <xf numFmtId="0" fontId="25" fillId="22" borderId="6" xfId="0" applyFont="1" applyFill="1" applyBorder="1" applyAlignment="1">
      <alignment horizontal="left" vertical="center"/>
    </xf>
    <xf numFmtId="0" fontId="25" fillId="22" borderId="10" xfId="0" applyFont="1" applyFill="1" applyBorder="1" applyAlignment="1">
      <alignment horizontal="left" vertical="center"/>
    </xf>
    <xf numFmtId="0" fontId="25" fillId="22" borderId="7" xfId="0" applyFont="1" applyFill="1" applyBorder="1" applyAlignment="1">
      <alignment horizontal="left" vertical="center"/>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59" fillId="17" borderId="77" xfId="5" applyFont="1" applyFill="1" applyBorder="1" applyAlignment="1">
      <alignment horizontal="center" vertical="center" wrapText="1"/>
    </xf>
    <xf numFmtId="0" fontId="59" fillId="17" borderId="78" xfId="5" applyFont="1" applyFill="1" applyBorder="1" applyAlignment="1">
      <alignment horizontal="center" vertical="center" wrapText="1"/>
    </xf>
    <xf numFmtId="0" fontId="60" fillId="3" borderId="75" xfId="0" applyFont="1" applyFill="1" applyBorder="1" applyAlignment="1">
      <alignment horizontal="center" vertical="center" wrapText="1"/>
    </xf>
    <xf numFmtId="0" fontId="60" fillId="3" borderId="76" xfId="0" applyFont="1" applyFill="1" applyBorder="1" applyAlignment="1">
      <alignment horizontal="center" vertical="center" wrapText="1"/>
    </xf>
    <xf numFmtId="0" fontId="60" fillId="3" borderId="34" xfId="0" applyFont="1" applyFill="1" applyBorder="1" applyAlignment="1">
      <alignment horizontal="center" vertical="center" wrapText="1"/>
    </xf>
    <xf numFmtId="0" fontId="68" fillId="0" borderId="0" xfId="0" applyFont="1"/>
  </cellXfs>
  <cellStyles count="7">
    <cellStyle name="Énfasis6" xfId="5" builtinId="49"/>
    <cellStyle name="Hipervínculo" xfId="6" builtinId="8"/>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112">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797894097224" createdVersion="6" refreshedVersion="8"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820464814817" createdVersion="8" refreshedVersion="8" minRefreshableVersion="3" recordCount="7" xr:uid="{00000000-000A-0000-FFFF-FFFF01000000}">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TablaDinámica6"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6"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11" dataDxfId="110">
  <autoFilter ref="B209:C219" xr:uid="{00000000-0009-0000-0100-000001000000}"/>
  <tableColumns count="2">
    <tableColumn id="1" xr3:uid="{00000000-0010-0000-0000-000001000000}" name="Criterios" dataDxfId="109"/>
    <tableColumn id="2" xr3:uid="{00000000-0010-0000-0000-000002000000}" name="Subcriterios" dataDxfId="10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5" displayName="Tabla5" ref="B228:C235" totalsRowShown="0" dataDxfId="107">
  <autoFilter ref="B228:C235" xr:uid="{00000000-0009-0000-0100-000005000000}"/>
  <tableColumns count="2">
    <tableColumn id="1" xr3:uid="{00000000-0010-0000-0100-000001000000}" name="Criterios" dataDxfId="106"/>
    <tableColumn id="2" xr3:uid="{00000000-0010-0000-01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drive.google.com/drive/u/0/folders/1sCSMEF3tnmsEHCbZdRUvbQjPcYtYLS7v"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topLeftCell="A10" zoomScale="110" zoomScaleNormal="110" workbookViewId="0">
      <selection activeCell="G16" sqref="G16"/>
    </sheetView>
  </sheetViews>
  <sheetFormatPr baseColWidth="10" defaultColWidth="11.42578125" defaultRowHeight="15" x14ac:dyDescent="0.25"/>
  <cols>
    <col min="1" max="1" width="2.85546875" style="82" customWidth="1"/>
    <col min="2" max="3" width="24.5703125" style="82" customWidth="1"/>
    <col min="4" max="4" width="16" style="82" customWidth="1"/>
    <col min="5" max="5" width="24.5703125" style="82" customWidth="1"/>
    <col min="6" max="6" width="27.5703125" style="82" customWidth="1"/>
    <col min="7" max="8" width="24.5703125" style="82" customWidth="1"/>
    <col min="9" max="16384" width="11.42578125" style="82"/>
  </cols>
  <sheetData>
    <row r="1" spans="2:8" ht="15.75" thickBot="1" x14ac:dyDescent="0.3"/>
    <row r="2" spans="2:8" ht="18" x14ac:dyDescent="0.25">
      <c r="B2" s="195" t="s">
        <v>148</v>
      </c>
      <c r="C2" s="196"/>
      <c r="D2" s="196"/>
      <c r="E2" s="196"/>
      <c r="F2" s="196"/>
      <c r="G2" s="196"/>
      <c r="H2" s="197"/>
    </row>
    <row r="3" spans="2:8" x14ac:dyDescent="0.25">
      <c r="B3" s="83"/>
      <c r="C3" s="84"/>
      <c r="D3" s="84"/>
      <c r="E3" s="84"/>
      <c r="F3" s="84"/>
      <c r="G3" s="84"/>
      <c r="H3" s="85"/>
    </row>
    <row r="4" spans="2:8" ht="63" customHeight="1" x14ac:dyDescent="0.25">
      <c r="B4" s="198" t="s">
        <v>172</v>
      </c>
      <c r="C4" s="199"/>
      <c r="D4" s="199"/>
      <c r="E4" s="199"/>
      <c r="F4" s="199"/>
      <c r="G4" s="199"/>
      <c r="H4" s="200"/>
    </row>
    <row r="5" spans="2:8" ht="63" customHeight="1" x14ac:dyDescent="0.25">
      <c r="B5" s="201"/>
      <c r="C5" s="202"/>
      <c r="D5" s="202"/>
      <c r="E5" s="202"/>
      <c r="F5" s="202"/>
      <c r="G5" s="202"/>
      <c r="H5" s="203"/>
    </row>
    <row r="6" spans="2:8" ht="16.5" x14ac:dyDescent="0.25">
      <c r="B6" s="204" t="s">
        <v>146</v>
      </c>
      <c r="C6" s="205"/>
      <c r="D6" s="205"/>
      <c r="E6" s="205"/>
      <c r="F6" s="205"/>
      <c r="G6" s="205"/>
      <c r="H6" s="206"/>
    </row>
    <row r="7" spans="2:8" ht="95.25" customHeight="1" x14ac:dyDescent="0.25">
      <c r="B7" s="214" t="s">
        <v>150</v>
      </c>
      <c r="C7" s="215"/>
      <c r="D7" s="215"/>
      <c r="E7" s="215"/>
      <c r="F7" s="215"/>
      <c r="G7" s="215"/>
      <c r="H7" s="216"/>
    </row>
    <row r="8" spans="2:8" ht="16.5" x14ac:dyDescent="0.25">
      <c r="B8" s="119"/>
      <c r="C8" s="120"/>
      <c r="D8" s="120"/>
      <c r="E8" s="120"/>
      <c r="F8" s="120"/>
      <c r="G8" s="120"/>
      <c r="H8" s="121"/>
    </row>
    <row r="9" spans="2:8" ht="16.5" customHeight="1" x14ac:dyDescent="0.25">
      <c r="B9" s="207" t="s">
        <v>165</v>
      </c>
      <c r="C9" s="208"/>
      <c r="D9" s="208"/>
      <c r="E9" s="208"/>
      <c r="F9" s="208"/>
      <c r="G9" s="208"/>
      <c r="H9" s="209"/>
    </row>
    <row r="10" spans="2:8" ht="44.45" customHeight="1" x14ac:dyDescent="0.25">
      <c r="B10" s="207"/>
      <c r="C10" s="208"/>
      <c r="D10" s="208"/>
      <c r="E10" s="208"/>
      <c r="F10" s="208"/>
      <c r="G10" s="208"/>
      <c r="H10" s="209"/>
    </row>
    <row r="11" spans="2:8" ht="15.75" thickBot="1" x14ac:dyDescent="0.3">
      <c r="B11" s="108"/>
      <c r="C11" s="111"/>
      <c r="D11" s="116"/>
      <c r="E11" s="117"/>
      <c r="F11" s="117"/>
      <c r="G11" s="118"/>
      <c r="H11" s="112"/>
    </row>
    <row r="12" spans="2:8" ht="15.75" thickTop="1" x14ac:dyDescent="0.25">
      <c r="B12" s="108"/>
      <c r="C12" s="210" t="s">
        <v>147</v>
      </c>
      <c r="D12" s="211"/>
      <c r="E12" s="212" t="s">
        <v>166</v>
      </c>
      <c r="F12" s="213"/>
      <c r="G12" s="111"/>
      <c r="H12" s="112"/>
    </row>
    <row r="13" spans="2:8" ht="35.450000000000003" customHeight="1" x14ac:dyDescent="0.25">
      <c r="B13" s="108"/>
      <c r="C13" s="182" t="s">
        <v>162</v>
      </c>
      <c r="D13" s="183"/>
      <c r="E13" s="184" t="s">
        <v>219</v>
      </c>
      <c r="F13" s="185"/>
      <c r="G13" s="111"/>
      <c r="H13" s="112"/>
    </row>
    <row r="14" spans="2:8" ht="35.450000000000003" customHeight="1" x14ac:dyDescent="0.25">
      <c r="B14" s="108"/>
      <c r="C14" s="182" t="s">
        <v>218</v>
      </c>
      <c r="D14" s="183"/>
      <c r="E14" s="184" t="s">
        <v>220</v>
      </c>
      <c r="F14" s="185"/>
      <c r="G14" s="111"/>
      <c r="H14" s="112"/>
    </row>
    <row r="15" spans="2:8" ht="25.9" customHeight="1" x14ac:dyDescent="0.25">
      <c r="B15" s="108"/>
      <c r="C15" s="182" t="s">
        <v>163</v>
      </c>
      <c r="D15" s="183"/>
      <c r="E15" s="184" t="s">
        <v>285</v>
      </c>
      <c r="F15" s="185"/>
      <c r="G15" s="111"/>
      <c r="H15" s="112"/>
    </row>
    <row r="16" spans="2:8" ht="25.15" customHeight="1" x14ac:dyDescent="0.25">
      <c r="B16" s="108"/>
      <c r="C16" s="182" t="s">
        <v>164</v>
      </c>
      <c r="D16" s="183"/>
      <c r="E16" s="184" t="s">
        <v>286</v>
      </c>
      <c r="F16" s="185"/>
      <c r="G16" s="111"/>
      <c r="H16" s="112"/>
    </row>
    <row r="17" spans="2:8" ht="21.2" customHeight="1" x14ac:dyDescent="0.25">
      <c r="B17" s="108"/>
      <c r="C17" s="182" t="s">
        <v>149</v>
      </c>
      <c r="D17" s="183"/>
      <c r="E17" s="184" t="s">
        <v>221</v>
      </c>
      <c r="F17" s="185"/>
      <c r="G17" s="111"/>
      <c r="H17" s="112"/>
    </row>
    <row r="18" spans="2:8" ht="83.45" customHeight="1" x14ac:dyDescent="0.25">
      <c r="B18" s="108"/>
      <c r="C18" s="180" t="s">
        <v>183</v>
      </c>
      <c r="D18" s="181"/>
      <c r="E18" s="178" t="s">
        <v>222</v>
      </c>
      <c r="F18" s="179"/>
      <c r="G18" s="111"/>
      <c r="H18" s="112"/>
    </row>
    <row r="19" spans="2:8" ht="83.45" customHeight="1" x14ac:dyDescent="0.25">
      <c r="B19" s="108"/>
      <c r="C19" s="147" t="s">
        <v>294</v>
      </c>
      <c r="D19" s="148"/>
      <c r="E19" s="178" t="s">
        <v>295</v>
      </c>
      <c r="F19" s="179"/>
      <c r="G19" s="111"/>
      <c r="H19" s="112"/>
    </row>
    <row r="20" spans="2:8" ht="34.5" customHeight="1" x14ac:dyDescent="0.25">
      <c r="B20" s="108"/>
      <c r="C20" s="180" t="s">
        <v>2</v>
      </c>
      <c r="D20" s="181"/>
      <c r="E20" s="178" t="s">
        <v>223</v>
      </c>
      <c r="F20" s="179"/>
      <c r="G20" s="111"/>
      <c r="H20" s="112"/>
    </row>
    <row r="21" spans="2:8" ht="87" customHeight="1" x14ac:dyDescent="0.25">
      <c r="B21" s="108"/>
      <c r="C21" s="186" t="s">
        <v>180</v>
      </c>
      <c r="D21" s="187"/>
      <c r="E21" s="178" t="s">
        <v>287</v>
      </c>
      <c r="F21" s="179"/>
      <c r="G21" s="111"/>
      <c r="H21" s="112"/>
    </row>
    <row r="22" spans="2:8" ht="103.35" customHeight="1" x14ac:dyDescent="0.25">
      <c r="B22" s="108"/>
      <c r="C22" s="186" t="s">
        <v>181</v>
      </c>
      <c r="D22" s="187"/>
      <c r="E22" s="178" t="s">
        <v>288</v>
      </c>
      <c r="F22" s="179"/>
      <c r="G22" s="111"/>
      <c r="H22" s="112"/>
    </row>
    <row r="23" spans="2:8" ht="72.75" customHeight="1" x14ac:dyDescent="0.25">
      <c r="B23" s="108"/>
      <c r="C23" s="186" t="s">
        <v>191</v>
      </c>
      <c r="D23" s="187"/>
      <c r="E23" s="178" t="s">
        <v>289</v>
      </c>
      <c r="F23" s="179"/>
      <c r="G23" s="111"/>
      <c r="H23" s="112"/>
    </row>
    <row r="24" spans="2:8" ht="72.75" customHeight="1" x14ac:dyDescent="0.25">
      <c r="B24" s="108"/>
      <c r="C24" s="186" t="s">
        <v>1</v>
      </c>
      <c r="D24" s="187"/>
      <c r="E24" s="178" t="s">
        <v>224</v>
      </c>
      <c r="F24" s="179"/>
      <c r="G24" s="111"/>
      <c r="H24" s="112"/>
    </row>
    <row r="25" spans="2:8" ht="85.7" customHeight="1" x14ac:dyDescent="0.25">
      <c r="B25" s="108"/>
      <c r="C25" s="186" t="s">
        <v>48</v>
      </c>
      <c r="D25" s="187"/>
      <c r="E25" s="178" t="s">
        <v>293</v>
      </c>
      <c r="F25" s="179"/>
      <c r="G25" s="111"/>
      <c r="H25" s="112"/>
    </row>
    <row r="26" spans="2:8" ht="106.15" customHeight="1" x14ac:dyDescent="0.25">
      <c r="B26" s="108"/>
      <c r="C26" s="186" t="s">
        <v>151</v>
      </c>
      <c r="D26" s="187"/>
      <c r="E26" s="178" t="s">
        <v>290</v>
      </c>
      <c r="F26" s="179"/>
      <c r="G26" s="111"/>
      <c r="H26" s="112"/>
    </row>
    <row r="27" spans="2:8" ht="87" customHeight="1" x14ac:dyDescent="0.25">
      <c r="B27" s="108"/>
      <c r="C27" s="180" t="s">
        <v>152</v>
      </c>
      <c r="D27" s="181"/>
      <c r="E27" s="178" t="s">
        <v>291</v>
      </c>
      <c r="F27" s="179"/>
      <c r="G27" s="111"/>
      <c r="H27" s="112"/>
    </row>
    <row r="28" spans="2:8" ht="42" customHeight="1" x14ac:dyDescent="0.25">
      <c r="B28" s="108"/>
      <c r="C28" s="180" t="s">
        <v>46</v>
      </c>
      <c r="D28" s="181"/>
      <c r="E28" s="178" t="s">
        <v>153</v>
      </c>
      <c r="F28" s="179"/>
      <c r="G28" s="111"/>
      <c r="H28" s="112"/>
    </row>
    <row r="29" spans="2:8" ht="30.6" customHeight="1" x14ac:dyDescent="0.25">
      <c r="B29" s="108"/>
      <c r="C29" s="180" t="s">
        <v>10</v>
      </c>
      <c r="D29" s="181"/>
      <c r="E29" s="178" t="s">
        <v>225</v>
      </c>
      <c r="F29" s="179"/>
      <c r="G29" s="111"/>
      <c r="H29" s="112"/>
    </row>
    <row r="30" spans="2:8" ht="59.25" customHeight="1" x14ac:dyDescent="0.25">
      <c r="B30" s="108"/>
      <c r="C30" s="180" t="s">
        <v>145</v>
      </c>
      <c r="D30" s="181"/>
      <c r="E30" s="178" t="s">
        <v>154</v>
      </c>
      <c r="F30" s="179"/>
      <c r="G30" s="111"/>
      <c r="H30" s="112"/>
    </row>
    <row r="31" spans="2:8" ht="27.75" customHeight="1" x14ac:dyDescent="0.25">
      <c r="B31" s="108"/>
      <c r="C31" s="180" t="s">
        <v>11</v>
      </c>
      <c r="D31" s="181"/>
      <c r="E31" s="178" t="s">
        <v>226</v>
      </c>
      <c r="F31" s="179"/>
      <c r="G31" s="111"/>
      <c r="H31" s="112"/>
    </row>
    <row r="32" spans="2:8" ht="41.45" customHeight="1" x14ac:dyDescent="0.25">
      <c r="B32" s="108"/>
      <c r="C32" s="180" t="s">
        <v>155</v>
      </c>
      <c r="D32" s="181"/>
      <c r="E32" s="178" t="s">
        <v>227</v>
      </c>
      <c r="F32" s="179"/>
      <c r="G32" s="111"/>
      <c r="H32" s="112"/>
    </row>
    <row r="33" spans="2:8" ht="35.450000000000003" customHeight="1" x14ac:dyDescent="0.25">
      <c r="B33" s="108"/>
      <c r="C33" s="180" t="s">
        <v>156</v>
      </c>
      <c r="D33" s="181"/>
      <c r="E33" s="178" t="s">
        <v>228</v>
      </c>
      <c r="F33" s="179"/>
      <c r="G33" s="111"/>
      <c r="H33" s="112"/>
    </row>
    <row r="34" spans="2:8" ht="30.2" customHeight="1" x14ac:dyDescent="0.25">
      <c r="B34" s="108"/>
      <c r="C34" s="180" t="s">
        <v>157</v>
      </c>
      <c r="D34" s="181"/>
      <c r="E34" s="178" t="s">
        <v>229</v>
      </c>
      <c r="F34" s="179"/>
      <c r="G34" s="111"/>
      <c r="H34" s="112"/>
    </row>
    <row r="35" spans="2:8" ht="35.450000000000003" customHeight="1" x14ac:dyDescent="0.25">
      <c r="B35" s="108"/>
      <c r="C35" s="180" t="s">
        <v>158</v>
      </c>
      <c r="D35" s="181"/>
      <c r="E35" s="178" t="s">
        <v>230</v>
      </c>
      <c r="F35" s="179"/>
      <c r="G35" s="111"/>
      <c r="H35" s="112"/>
    </row>
    <row r="36" spans="2:8" ht="31.7" customHeight="1" x14ac:dyDescent="0.25">
      <c r="B36" s="108"/>
      <c r="C36" s="180" t="s">
        <v>159</v>
      </c>
      <c r="D36" s="181"/>
      <c r="E36" s="178" t="s">
        <v>231</v>
      </c>
      <c r="F36" s="179"/>
      <c r="G36" s="111"/>
      <c r="H36" s="112"/>
    </row>
    <row r="37" spans="2:8" ht="35.450000000000003" customHeight="1" x14ac:dyDescent="0.25">
      <c r="B37" s="108"/>
      <c r="C37" s="180" t="s">
        <v>160</v>
      </c>
      <c r="D37" s="181"/>
      <c r="E37" s="178" t="s">
        <v>232</v>
      </c>
      <c r="F37" s="179"/>
      <c r="G37" s="111"/>
      <c r="H37" s="112"/>
    </row>
    <row r="38" spans="2:8" ht="101.45" customHeight="1" x14ac:dyDescent="0.25">
      <c r="B38" s="108"/>
      <c r="C38" s="180" t="s">
        <v>233</v>
      </c>
      <c r="D38" s="181"/>
      <c r="E38" s="178" t="s">
        <v>234</v>
      </c>
      <c r="F38" s="179"/>
      <c r="G38" s="111"/>
      <c r="H38" s="112"/>
    </row>
    <row r="39" spans="2:8" ht="29.25" customHeight="1" x14ac:dyDescent="0.25">
      <c r="B39" s="108"/>
      <c r="C39" s="180" t="s">
        <v>28</v>
      </c>
      <c r="D39" s="181"/>
      <c r="E39" s="178" t="s">
        <v>235</v>
      </c>
      <c r="F39" s="179"/>
      <c r="G39" s="111"/>
      <c r="H39" s="112"/>
    </row>
    <row r="40" spans="2:8" ht="82.5" customHeight="1" x14ac:dyDescent="0.25">
      <c r="B40" s="108"/>
      <c r="C40" s="180" t="s">
        <v>161</v>
      </c>
      <c r="D40" s="181"/>
      <c r="E40" s="178" t="s">
        <v>236</v>
      </c>
      <c r="F40" s="179"/>
      <c r="G40" s="111"/>
      <c r="H40" s="112"/>
    </row>
    <row r="41" spans="2:8" ht="46.5" customHeight="1" x14ac:dyDescent="0.25">
      <c r="B41" s="108"/>
      <c r="C41" s="180" t="s">
        <v>38</v>
      </c>
      <c r="D41" s="181"/>
      <c r="E41" s="178" t="s">
        <v>237</v>
      </c>
      <c r="F41" s="179"/>
      <c r="G41" s="111"/>
      <c r="H41" s="112"/>
    </row>
    <row r="42" spans="2:8" ht="6.75" customHeight="1" thickBot="1" x14ac:dyDescent="0.3">
      <c r="B42" s="108"/>
      <c r="C42" s="191"/>
      <c r="D42" s="192"/>
      <c r="E42" s="193"/>
      <c r="F42" s="194"/>
      <c r="G42" s="111"/>
      <c r="H42" s="112"/>
    </row>
    <row r="43" spans="2:8" ht="15.75" thickTop="1" x14ac:dyDescent="0.25">
      <c r="B43" s="108"/>
      <c r="C43" s="109"/>
      <c r="D43" s="109"/>
      <c r="E43" s="110"/>
      <c r="F43" s="110"/>
      <c r="G43" s="111"/>
      <c r="H43" s="112"/>
    </row>
    <row r="44" spans="2:8" ht="21.2" customHeight="1" x14ac:dyDescent="0.25">
      <c r="B44" s="188" t="s">
        <v>167</v>
      </c>
      <c r="C44" s="189"/>
      <c r="D44" s="189"/>
      <c r="E44" s="189"/>
      <c r="F44" s="189"/>
      <c r="G44" s="189"/>
      <c r="H44" s="190"/>
    </row>
    <row r="45" spans="2:8" ht="20.25" customHeight="1" x14ac:dyDescent="0.25">
      <c r="B45" s="188" t="s">
        <v>168</v>
      </c>
      <c r="C45" s="189"/>
      <c r="D45" s="189"/>
      <c r="E45" s="189"/>
      <c r="F45" s="189"/>
      <c r="G45" s="189"/>
      <c r="H45" s="190"/>
    </row>
    <row r="46" spans="2:8" ht="20.25" customHeight="1" x14ac:dyDescent="0.25">
      <c r="B46" s="188" t="s">
        <v>169</v>
      </c>
      <c r="C46" s="189"/>
      <c r="D46" s="189"/>
      <c r="E46" s="189"/>
      <c r="F46" s="189"/>
      <c r="G46" s="189"/>
      <c r="H46" s="190"/>
    </row>
    <row r="47" spans="2:8" ht="20.25" customHeight="1" x14ac:dyDescent="0.25">
      <c r="B47" s="188" t="s">
        <v>170</v>
      </c>
      <c r="C47" s="189"/>
      <c r="D47" s="189"/>
      <c r="E47" s="189"/>
      <c r="F47" s="189"/>
      <c r="G47" s="189"/>
      <c r="H47" s="190"/>
    </row>
    <row r="48" spans="2:8" x14ac:dyDescent="0.25">
      <c r="B48" s="188" t="s">
        <v>171</v>
      </c>
      <c r="C48" s="189"/>
      <c r="D48" s="189"/>
      <c r="E48" s="189"/>
      <c r="F48" s="189"/>
      <c r="G48" s="189"/>
      <c r="H48" s="190"/>
    </row>
    <row r="49" spans="2:8" ht="15.75" thickBot="1" x14ac:dyDescent="0.3">
      <c r="B49" s="113"/>
      <c r="C49" s="114"/>
      <c r="D49" s="114"/>
      <c r="E49" s="114"/>
      <c r="F49" s="114"/>
      <c r="G49" s="114"/>
      <c r="H49" s="115"/>
    </row>
  </sheetData>
  <mergeCells count="71">
    <mergeCell ref="E25:F25"/>
    <mergeCell ref="B2:H2"/>
    <mergeCell ref="B4:H5"/>
    <mergeCell ref="B6:H6"/>
    <mergeCell ref="B9:H10"/>
    <mergeCell ref="C12:D12"/>
    <mergeCell ref="E12:F12"/>
    <mergeCell ref="B7:H7"/>
    <mergeCell ref="C13:D13"/>
    <mergeCell ref="E13:F13"/>
    <mergeCell ref="C18:D18"/>
    <mergeCell ref="E18:F18"/>
    <mergeCell ref="C23:D23"/>
    <mergeCell ref="E23:F23"/>
    <mergeCell ref="E19:F19"/>
    <mergeCell ref="C14:D14"/>
    <mergeCell ref="E14:F14"/>
    <mergeCell ref="C22:D22"/>
    <mergeCell ref="C24:D24"/>
    <mergeCell ref="E21:F21"/>
    <mergeCell ref="E22:F22"/>
    <mergeCell ref="E24:F24"/>
    <mergeCell ref="C20:D20"/>
    <mergeCell ref="E20:F20"/>
    <mergeCell ref="B46:H46"/>
    <mergeCell ref="B47:H47"/>
    <mergeCell ref="B48:H48"/>
    <mergeCell ref="E27:F27"/>
    <mergeCell ref="C27:D27"/>
    <mergeCell ref="C28:D28"/>
    <mergeCell ref="E28:F28"/>
    <mergeCell ref="C31:D31"/>
    <mergeCell ref="E31:F31"/>
    <mergeCell ref="E38:F38"/>
    <mergeCell ref="C36:D36"/>
    <mergeCell ref="C35:D35"/>
    <mergeCell ref="E35:F35"/>
    <mergeCell ref="E36:F36"/>
    <mergeCell ref="C32:D32"/>
    <mergeCell ref="E32:F32"/>
    <mergeCell ref="C37:D37"/>
    <mergeCell ref="B44:H44"/>
    <mergeCell ref="C34:D34"/>
    <mergeCell ref="E34:F34"/>
    <mergeCell ref="E37:F37"/>
    <mergeCell ref="C38:D38"/>
    <mergeCell ref="C39:D39"/>
    <mergeCell ref="E39:F39"/>
    <mergeCell ref="C40:D40"/>
    <mergeCell ref="E40:F40"/>
    <mergeCell ref="B45:H45"/>
    <mergeCell ref="C42:D42"/>
    <mergeCell ref="E42:F42"/>
    <mergeCell ref="C41:D41"/>
    <mergeCell ref="E41:F41"/>
    <mergeCell ref="E33:F33"/>
    <mergeCell ref="C33:D33"/>
    <mergeCell ref="C17:D17"/>
    <mergeCell ref="E17:F17"/>
    <mergeCell ref="C15:D15"/>
    <mergeCell ref="E15:F15"/>
    <mergeCell ref="C16:D16"/>
    <mergeCell ref="E16:F16"/>
    <mergeCell ref="E26:F26"/>
    <mergeCell ref="C26:D26"/>
    <mergeCell ref="C30:D30"/>
    <mergeCell ref="E30:F30"/>
    <mergeCell ref="C29:D29"/>
    <mergeCell ref="E29:F29"/>
    <mergeCell ref="C25:D25"/>
    <mergeCell ref="C21:D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B20" sqref="B20"/>
    </sheetView>
  </sheetViews>
  <sheetFormatPr baseColWidth="10" defaultRowHeight="15"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210</v>
      </c>
    </row>
    <row r="13" spans="2:5" x14ac:dyDescent="0.25">
      <c r="B13" t="s">
        <v>211</v>
      </c>
    </row>
    <row r="14" spans="2:5" x14ac:dyDescent="0.25">
      <c r="B14" t="s">
        <v>212</v>
      </c>
    </row>
    <row r="15" spans="2:5" x14ac:dyDescent="0.25">
      <c r="B15" t="s">
        <v>213</v>
      </c>
    </row>
    <row r="16" spans="2:5" x14ac:dyDescent="0.25">
      <c r="B16" t="s">
        <v>214</v>
      </c>
    </row>
    <row r="17" spans="2:2" x14ac:dyDescent="0.25">
      <c r="B17" t="s">
        <v>215</v>
      </c>
    </row>
    <row r="18" spans="2:2" x14ac:dyDescent="0.25">
      <c r="B18" t="s">
        <v>216</v>
      </c>
    </row>
    <row r="19" spans="2:2" x14ac:dyDescent="0.25">
      <c r="B19" t="s">
        <v>217</v>
      </c>
    </row>
  </sheetData>
  <sortState xmlns:xlrd2="http://schemas.microsoft.com/office/spreadsheetml/2017/richdata2"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13</v>
      </c>
    </row>
    <row r="4" spans="1:1" x14ac:dyDescent="0.2">
      <c r="A4" s="9" t="s">
        <v>14</v>
      </c>
    </row>
    <row r="5" spans="1:1" x14ac:dyDescent="0.2">
      <c r="A5" s="9" t="s">
        <v>15</v>
      </c>
    </row>
    <row r="6" spans="1:1" x14ac:dyDescent="0.2">
      <c r="A6" s="9" t="s">
        <v>9</v>
      </c>
    </row>
    <row r="7" spans="1:1" x14ac:dyDescent="0.2">
      <c r="A7" s="9" t="s">
        <v>8</v>
      </c>
    </row>
    <row r="8" spans="1:1" x14ac:dyDescent="0.2">
      <c r="A8" s="9" t="s">
        <v>18</v>
      </c>
    </row>
    <row r="9" spans="1:1" x14ac:dyDescent="0.2">
      <c r="A9" s="9" t="s">
        <v>19</v>
      </c>
    </row>
    <row r="10" spans="1:1" x14ac:dyDescent="0.2">
      <c r="A10" s="9" t="s">
        <v>21</v>
      </c>
    </row>
    <row r="11" spans="1:1" x14ac:dyDescent="0.2">
      <c r="A11" s="9" t="s">
        <v>22</v>
      </c>
    </row>
    <row r="12" spans="1:1" x14ac:dyDescent="0.2">
      <c r="A12" s="9" t="s">
        <v>24</v>
      </c>
    </row>
    <row r="13" spans="1:1" x14ac:dyDescent="0.2">
      <c r="A13" s="9" t="s">
        <v>25</v>
      </c>
    </row>
    <row r="14" spans="1:1" x14ac:dyDescent="0.2">
      <c r="A14" s="9" t="s">
        <v>26</v>
      </c>
    </row>
    <row r="16" spans="1:1" x14ac:dyDescent="0.2">
      <c r="A16" s="9" t="s">
        <v>29</v>
      </c>
    </row>
    <row r="17" spans="1:1" x14ac:dyDescent="0.2">
      <c r="A17" s="9" t="s">
        <v>30</v>
      </c>
    </row>
    <row r="18" spans="1:1" x14ac:dyDescent="0.2">
      <c r="A18" s="9" t="s">
        <v>31</v>
      </c>
    </row>
    <row r="20" spans="1:1" x14ac:dyDescent="0.2">
      <c r="A20" s="9" t="s">
        <v>39</v>
      </c>
    </row>
    <row r="21" spans="1:1" x14ac:dyDescent="0.2">
      <c r="A21" s="9"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CG73"/>
  <sheetViews>
    <sheetView zoomScale="77" zoomScaleNormal="77" workbookViewId="0">
      <selection activeCell="A8" sqref="A8:J8"/>
    </sheetView>
  </sheetViews>
  <sheetFormatPr baseColWidth="10" defaultColWidth="11.42578125" defaultRowHeight="16.5" x14ac:dyDescent="0.3"/>
  <cols>
    <col min="1" max="1" width="4" style="2" bestFit="1" customWidth="1"/>
    <col min="2" max="3" width="27.42578125" style="2" customWidth="1"/>
    <col min="4" max="5" width="36.140625" style="2" customWidth="1"/>
    <col min="6" max="6" width="32.42578125" style="1" customWidth="1"/>
    <col min="7" max="8" width="36.140625" style="2" customWidth="1"/>
    <col min="9" max="9" width="19" style="5" customWidth="1"/>
    <col min="10" max="10" width="17.85546875" style="1" customWidth="1"/>
    <col min="11" max="11" width="16.42578125" style="1" customWidth="1"/>
    <col min="12" max="12" width="6.42578125" style="1" bestFit="1" customWidth="1"/>
    <col min="13" max="13" width="27.42578125" style="1" bestFit="1" customWidth="1"/>
    <col min="14" max="14" width="30.42578125" style="1" hidden="1" customWidth="1"/>
    <col min="15" max="15" width="17.42578125" style="1" customWidth="1"/>
    <col min="16" max="16" width="6.42578125" style="1" bestFit="1" customWidth="1"/>
    <col min="17" max="17" width="16" style="1" customWidth="1"/>
    <col min="18" max="18" width="5.85546875" style="1" customWidth="1"/>
    <col min="19" max="19" width="31" style="1" customWidth="1"/>
    <col min="20" max="20" width="15.140625" style="1" bestFit="1" customWidth="1"/>
    <col min="21" max="21" width="6.85546875" style="1" customWidth="1"/>
    <col min="22" max="22" width="5" style="1" customWidth="1"/>
    <col min="23" max="23" width="5.42578125" style="1" customWidth="1"/>
    <col min="24" max="24" width="7.140625" style="1" customWidth="1"/>
    <col min="25" max="25" width="6.5703125" style="1" customWidth="1"/>
    <col min="26" max="26" width="7.42578125" style="1" customWidth="1"/>
    <col min="27" max="27" width="9.5703125" style="1" customWidth="1"/>
    <col min="28" max="28" width="8.5703125" style="1" customWidth="1"/>
    <col min="29" max="29" width="10.42578125" style="1" customWidth="1"/>
    <col min="30" max="30" width="9.42578125" style="1" customWidth="1"/>
    <col min="31" max="31" width="9.140625" style="1" customWidth="1"/>
    <col min="32" max="32" width="8.42578125" style="1" customWidth="1"/>
    <col min="33" max="33" width="7.42578125" style="1" customWidth="1"/>
    <col min="34" max="34" width="23" style="1" customWidth="1"/>
    <col min="35" max="35" width="18.85546875" style="1" customWidth="1"/>
    <col min="36" max="36" width="16.85546875" style="1" customWidth="1"/>
    <col min="37" max="37" width="14.85546875" style="1" customWidth="1"/>
    <col min="38" max="38" width="18.42578125" style="1" customWidth="1"/>
    <col min="39" max="39" width="21" style="1" customWidth="1"/>
    <col min="40" max="16384" width="11.42578125" style="1"/>
  </cols>
  <sheetData>
    <row r="1" spans="1:85" ht="16.5" customHeight="1" x14ac:dyDescent="0.3">
      <c r="A1" s="236" t="s">
        <v>292</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8"/>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85" ht="24" customHeight="1" x14ac:dyDescent="0.3">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1"/>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85" x14ac:dyDescent="0.3">
      <c r="A3" s="27"/>
      <c r="B3" s="28"/>
      <c r="C3" s="28"/>
      <c r="D3" s="27"/>
      <c r="E3" s="27"/>
      <c r="F3" s="7"/>
      <c r="G3" s="27"/>
      <c r="H3" s="27"/>
      <c r="I3" s="26"/>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85" ht="26.45" customHeight="1" x14ac:dyDescent="0.3">
      <c r="A4" s="279" t="s">
        <v>41</v>
      </c>
      <c r="B4" s="280"/>
      <c r="C4" s="281"/>
      <c r="D4" s="275" t="s">
        <v>254</v>
      </c>
      <c r="E4" s="276"/>
      <c r="F4" s="276"/>
      <c r="G4" s="276"/>
      <c r="H4" s="276"/>
      <c r="I4" s="276"/>
      <c r="J4" s="276"/>
      <c r="K4" s="276"/>
      <c r="L4" s="276"/>
      <c r="M4" s="276"/>
      <c r="N4" s="276"/>
      <c r="O4" s="276"/>
      <c r="P4" s="276"/>
      <c r="Q4" s="277"/>
      <c r="R4" s="235"/>
      <c r="S4" s="235"/>
      <c r="T4" s="235"/>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85" ht="26.45" customHeight="1" x14ac:dyDescent="0.3">
      <c r="A5" s="279" t="s">
        <v>173</v>
      </c>
      <c r="B5" s="280"/>
      <c r="C5" s="281"/>
      <c r="D5" s="278" t="s">
        <v>238</v>
      </c>
      <c r="E5" s="258"/>
      <c r="F5" s="258"/>
      <c r="G5" s="258"/>
      <c r="H5" s="258"/>
      <c r="I5" s="258"/>
      <c r="J5" s="258"/>
      <c r="K5" s="258"/>
      <c r="L5" s="258"/>
      <c r="M5" s="258"/>
      <c r="N5" s="258"/>
      <c r="O5" s="258"/>
      <c r="P5" s="258"/>
      <c r="Q5" s="259"/>
      <c r="R5" s="235"/>
      <c r="S5" s="235"/>
      <c r="T5" s="235"/>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85" ht="30.2" customHeight="1" x14ac:dyDescent="0.3">
      <c r="A6" s="279" t="s">
        <v>115</v>
      </c>
      <c r="B6" s="280"/>
      <c r="C6" s="281"/>
      <c r="D6" s="257" t="s">
        <v>310</v>
      </c>
      <c r="E6" s="258"/>
      <c r="F6" s="258"/>
      <c r="G6" s="258"/>
      <c r="H6" s="258"/>
      <c r="I6" s="258"/>
      <c r="J6" s="258"/>
      <c r="K6" s="258"/>
      <c r="L6" s="258"/>
      <c r="M6" s="258"/>
      <c r="N6" s="258"/>
      <c r="O6" s="258"/>
      <c r="P6" s="258"/>
      <c r="Q6" s="259"/>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85" ht="49.7" customHeight="1" x14ac:dyDescent="0.3">
      <c r="A7" s="279" t="s">
        <v>42</v>
      </c>
      <c r="B7" s="280"/>
      <c r="C7" s="281"/>
      <c r="D7" s="257" t="s">
        <v>311</v>
      </c>
      <c r="E7" s="260"/>
      <c r="F7" s="260"/>
      <c r="G7" s="260"/>
      <c r="H7" s="260"/>
      <c r="I7" s="260"/>
      <c r="J7" s="260"/>
      <c r="K7" s="260"/>
      <c r="L7" s="260"/>
      <c r="M7" s="260"/>
      <c r="N7" s="260"/>
      <c r="O7" s="260"/>
      <c r="P7" s="260"/>
      <c r="Q7" s="261"/>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85" ht="41.45" customHeight="1" x14ac:dyDescent="0.3">
      <c r="A8" s="242" t="s">
        <v>123</v>
      </c>
      <c r="B8" s="243"/>
      <c r="C8" s="243"/>
      <c r="D8" s="243"/>
      <c r="E8" s="243"/>
      <c r="F8" s="243"/>
      <c r="G8" s="243"/>
      <c r="H8" s="243"/>
      <c r="I8" s="243"/>
      <c r="J8" s="244"/>
      <c r="K8" s="245" t="s">
        <v>124</v>
      </c>
      <c r="L8" s="246"/>
      <c r="M8" s="246"/>
      <c r="N8" s="246"/>
      <c r="O8" s="246"/>
      <c r="P8" s="246"/>
      <c r="Q8" s="247"/>
      <c r="R8" s="245" t="s">
        <v>125</v>
      </c>
      <c r="S8" s="246"/>
      <c r="T8" s="246"/>
      <c r="U8" s="246"/>
      <c r="V8" s="246"/>
      <c r="W8" s="246"/>
      <c r="X8" s="246"/>
      <c r="Y8" s="246"/>
      <c r="Z8" s="247"/>
      <c r="AA8" s="245" t="s">
        <v>126</v>
      </c>
      <c r="AB8" s="246"/>
      <c r="AC8" s="246"/>
      <c r="AD8" s="246"/>
      <c r="AE8" s="246"/>
      <c r="AF8" s="246"/>
      <c r="AG8" s="247"/>
      <c r="AH8" s="245" t="s">
        <v>33</v>
      </c>
      <c r="AI8" s="246"/>
      <c r="AJ8" s="246"/>
      <c r="AK8" s="246"/>
      <c r="AL8" s="246"/>
      <c r="AM8" s="24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row>
    <row r="9" spans="1:85" ht="16.5" customHeight="1" x14ac:dyDescent="0.3">
      <c r="A9" s="249" t="s">
        <v>0</v>
      </c>
      <c r="B9" s="252" t="s">
        <v>182</v>
      </c>
      <c r="C9" s="251" t="s">
        <v>284</v>
      </c>
      <c r="D9" s="254" t="s">
        <v>2</v>
      </c>
      <c r="E9" s="251" t="s">
        <v>180</v>
      </c>
      <c r="F9" s="252" t="s">
        <v>181</v>
      </c>
      <c r="G9" s="253" t="s">
        <v>191</v>
      </c>
      <c r="H9" s="253" t="s">
        <v>1</v>
      </c>
      <c r="I9" s="251" t="s">
        <v>48</v>
      </c>
      <c r="J9" s="252" t="s">
        <v>119</v>
      </c>
      <c r="K9" s="271" t="s">
        <v>32</v>
      </c>
      <c r="L9" s="272" t="s">
        <v>4</v>
      </c>
      <c r="M9" s="251" t="s">
        <v>84</v>
      </c>
      <c r="N9" s="251" t="s">
        <v>89</v>
      </c>
      <c r="O9" s="274" t="s">
        <v>43</v>
      </c>
      <c r="P9" s="272" t="s">
        <v>4</v>
      </c>
      <c r="Q9" s="252" t="s">
        <v>46</v>
      </c>
      <c r="R9" s="255" t="s">
        <v>10</v>
      </c>
      <c r="S9" s="248" t="s">
        <v>145</v>
      </c>
      <c r="T9" s="251" t="s">
        <v>11</v>
      </c>
      <c r="U9" s="248" t="s">
        <v>7</v>
      </c>
      <c r="V9" s="248"/>
      <c r="W9" s="248"/>
      <c r="X9" s="248"/>
      <c r="Y9" s="248"/>
      <c r="Z9" s="248"/>
      <c r="AA9" s="262" t="s">
        <v>122</v>
      </c>
      <c r="AB9" s="262" t="s">
        <v>44</v>
      </c>
      <c r="AC9" s="262" t="s">
        <v>4</v>
      </c>
      <c r="AD9" s="262" t="s">
        <v>45</v>
      </c>
      <c r="AE9" s="262" t="s">
        <v>4</v>
      </c>
      <c r="AF9" s="262" t="s">
        <v>47</v>
      </c>
      <c r="AG9" s="255" t="s">
        <v>28</v>
      </c>
      <c r="AH9" s="248" t="s">
        <v>33</v>
      </c>
      <c r="AI9" s="248" t="s">
        <v>34</v>
      </c>
      <c r="AJ9" s="248" t="s">
        <v>35</v>
      </c>
      <c r="AK9" s="248" t="s">
        <v>37</v>
      </c>
      <c r="AL9" s="248" t="s">
        <v>36</v>
      </c>
      <c r="AM9" s="248" t="s">
        <v>38</v>
      </c>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row>
    <row r="10" spans="1:85" s="4" customFormat="1" ht="94.7" customHeight="1" x14ac:dyDescent="0.25">
      <c r="A10" s="250"/>
      <c r="B10" s="248"/>
      <c r="C10" s="252"/>
      <c r="D10" s="254"/>
      <c r="E10" s="252"/>
      <c r="F10" s="248"/>
      <c r="G10" s="254"/>
      <c r="H10" s="254"/>
      <c r="I10" s="252"/>
      <c r="J10" s="248"/>
      <c r="K10" s="252"/>
      <c r="L10" s="273"/>
      <c r="M10" s="252"/>
      <c r="N10" s="252"/>
      <c r="O10" s="273"/>
      <c r="P10" s="273"/>
      <c r="Q10" s="248"/>
      <c r="R10" s="256"/>
      <c r="S10" s="248"/>
      <c r="T10" s="252"/>
      <c r="U10" s="161" t="s">
        <v>12</v>
      </c>
      <c r="V10" s="161" t="s">
        <v>16</v>
      </c>
      <c r="W10" s="161" t="s">
        <v>27</v>
      </c>
      <c r="X10" s="161" t="s">
        <v>17</v>
      </c>
      <c r="Y10" s="161" t="s">
        <v>20</v>
      </c>
      <c r="Z10" s="161" t="s">
        <v>23</v>
      </c>
      <c r="AA10" s="262"/>
      <c r="AB10" s="262"/>
      <c r="AC10" s="262"/>
      <c r="AD10" s="262"/>
      <c r="AE10" s="262"/>
      <c r="AF10" s="262"/>
      <c r="AG10" s="256"/>
      <c r="AH10" s="248"/>
      <c r="AI10" s="248"/>
      <c r="AJ10" s="248"/>
      <c r="AK10" s="248"/>
      <c r="AL10" s="248"/>
      <c r="AM10" s="248"/>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row>
    <row r="11" spans="1:85" s="3" customFormat="1" ht="143.25" customHeight="1" x14ac:dyDescent="0.25">
      <c r="A11" s="263">
        <v>1</v>
      </c>
      <c r="B11" s="217" t="s">
        <v>184</v>
      </c>
      <c r="C11" s="217" t="s">
        <v>299</v>
      </c>
      <c r="D11" s="217" t="s">
        <v>116</v>
      </c>
      <c r="E11" s="162" t="s">
        <v>297</v>
      </c>
      <c r="F11" s="163" t="s">
        <v>298</v>
      </c>
      <c r="G11" s="266" t="s">
        <v>193</v>
      </c>
      <c r="H11" s="266" t="s">
        <v>300</v>
      </c>
      <c r="I11" s="217" t="s">
        <v>216</v>
      </c>
      <c r="J11" s="223">
        <v>89</v>
      </c>
      <c r="K11" s="226" t="str">
        <f>IF(J11&lt;=0,"",IF(J11&lt;=5,"Muy Baja",IF(J11&lt;=24,"Baja",IF(J11&lt;=150,"Media",IF(J11&lt;=300,"Alta","Muy Alta")))))</f>
        <v>Media</v>
      </c>
      <c r="L11" s="229">
        <f>IF(K11="","",IF(K11="Muy Baja",0.2,IF(K11="Baja",0.4,IF(K11="Media",0.6,IF(K11="Alta",0.8,IF(K11="Muy Alta",1,))))))</f>
        <v>0.6</v>
      </c>
      <c r="M11" s="232" t="s">
        <v>136</v>
      </c>
      <c r="N11" s="229" t="str">
        <f>IF(NOT(ISERROR(MATCH(M11,'Tabla Impacto'!$B$221:$B$223,0))),'Tabla Impacto'!$F$223&amp;"Por favor no seleccionar los criterios de impacto(Afectación Económica o presupuestal y Pérdida Reputacional)",M11)</f>
        <v xml:space="preserve">     El riesgo afecta la imagen de la entidad internamente, de conocimiento general, nivel interno, de junta dircetiva y accionistas y/o de provedores</v>
      </c>
      <c r="O11" s="226" t="str">
        <f>IF(OR(N11='Tabla Impacto'!$C$11,N11='Tabla Impacto'!$D$11),"Leve",IF(OR(N11='Tabla Impacto'!$C$12,N11='Tabla Impacto'!$D$12),"Menor",IF(OR(N11='Tabla Impacto'!$C$13,N11='Tabla Impacto'!$D$13),"Moderado",IF(OR(N11='Tabla Impacto'!$C$14,N11='Tabla Impacto'!$D$14),"Mayor",IF(OR(N11='Tabla Impacto'!$C$15,N11='Tabla Impacto'!$D$15),"Catastrófico","")))))</f>
        <v>Menor</v>
      </c>
      <c r="P11" s="229">
        <f>IF(O11="","",IF(O11="Leve",0.2,IF(O11="Menor",0.4,IF(O11="Moderado",0.6,IF(O11="Mayor",0.8,IF(O11="Catastrófico",1,))))))</f>
        <v>0.4</v>
      </c>
      <c r="Q11" s="220" t="str">
        <f>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Moderado</v>
      </c>
      <c r="R11" s="122">
        <v>1</v>
      </c>
      <c r="S11" s="123" t="s">
        <v>304</v>
      </c>
      <c r="T11" s="124" t="str">
        <f>IF(OR(U11="Preventivo",U11="Detectivo"),"Probabilidad",IF(U11="Correctivo","Impacto",""))</f>
        <v>Probabilidad</v>
      </c>
      <c r="U11" s="125" t="s">
        <v>13</v>
      </c>
      <c r="V11" s="125" t="s">
        <v>9</v>
      </c>
      <c r="W11" s="126" t="str">
        <f>IF(AND(U11="Preventivo",V11="Automático"),"50%",IF(AND(U11="Preventivo",V11="Manual"),"40%",IF(AND(U11="Detectivo",V11="Automático"),"40%",IF(AND(U11="Detectivo",V11="Manual"),"30%",IF(AND(U11="Correctivo",V11="Automático"),"35%",IF(AND(U11="Correctivo",V11="Manual"),"25%",""))))))</f>
        <v>50%</v>
      </c>
      <c r="X11" s="125" t="s">
        <v>18</v>
      </c>
      <c r="Y11" s="125" t="s">
        <v>21</v>
      </c>
      <c r="Z11" s="125" t="s">
        <v>111</v>
      </c>
      <c r="AA11" s="127">
        <f>IFERROR(IF(T11="Probabilidad",(L11-(+L11*W11)),IF(T11="Impacto",L11,"")),"")</f>
        <v>0.3</v>
      </c>
      <c r="AB11" s="128" t="str">
        <f>IFERROR(IF(AA11="","",IF(AA11&lt;=0.2,"Muy Baja",IF(AA11&lt;=0.4,"Baja",IF(AA11&lt;=0.6,"Media",IF(AA11&lt;=0.8,"Alta","Muy Alta"))))),"")</f>
        <v>Baja</v>
      </c>
      <c r="AC11" s="129">
        <f>+AA11</f>
        <v>0.3</v>
      </c>
      <c r="AD11" s="128" t="str">
        <f>IFERROR(IF(AE11="","",IF(AE11&lt;=0.2,"Leve",IF(AE11&lt;=0.4,"Menor",IF(AE11&lt;=0.6,"Moderado",IF(AE11&lt;=0.8,"Mayor","Catastrófico"))))),"")</f>
        <v>Menor</v>
      </c>
      <c r="AE11" s="129">
        <f>IFERROR(IF(T11="Impacto",(P11-(+P11*W11)),IF(T11="Probabilidad",P11,"")),"")</f>
        <v>0.4</v>
      </c>
      <c r="AF11" s="130" t="str">
        <f>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Moderado</v>
      </c>
      <c r="AG11" s="131" t="s">
        <v>30</v>
      </c>
      <c r="AH11" s="132"/>
      <c r="AI11" s="133"/>
      <c r="AJ11" s="134"/>
      <c r="AK11" s="134"/>
      <c r="AL11" s="132"/>
      <c r="AM11" s="133"/>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85" ht="183.75" customHeight="1" x14ac:dyDescent="0.3">
      <c r="A12" s="264"/>
      <c r="B12" s="218"/>
      <c r="C12" s="218"/>
      <c r="D12" s="218"/>
      <c r="E12" s="138"/>
      <c r="F12" s="164"/>
      <c r="G12" s="267"/>
      <c r="H12" s="267"/>
      <c r="I12" s="218"/>
      <c r="J12" s="224"/>
      <c r="K12" s="227"/>
      <c r="L12" s="230"/>
      <c r="M12" s="233"/>
      <c r="N12" s="230">
        <f>IF(NOT(ISERROR(MATCH(M12,_xlfn.ANCHORARRAY(H23),0))),L25&amp;"Por favor no seleccionar los criterios de impacto",M12)</f>
        <v>0</v>
      </c>
      <c r="O12" s="227"/>
      <c r="P12" s="230"/>
      <c r="Q12" s="221"/>
      <c r="R12" s="122">
        <v>2</v>
      </c>
      <c r="S12" s="123" t="s">
        <v>302</v>
      </c>
      <c r="T12" s="124" t="str">
        <f t="shared" ref="T12:T70" si="0">IF(OR(U12="Preventivo",U12="Detectivo"),"Probabilidad",IF(U12="Correctivo","Impacto",""))</f>
        <v>Probabilidad</v>
      </c>
      <c r="U12" s="125" t="s">
        <v>13</v>
      </c>
      <c r="V12" s="125" t="s">
        <v>9</v>
      </c>
      <c r="W12" s="126" t="str">
        <f t="shared" ref="W12:W16" si="1">IF(AND(U12="Preventivo",V12="Automático"),"50%",IF(AND(U12="Preventivo",V12="Manual"),"40%",IF(AND(U12="Detectivo",V12="Automático"),"40%",IF(AND(U12="Detectivo",V12="Manual"),"30%",IF(AND(U12="Correctivo",V12="Automático"),"35%",IF(AND(U12="Correctivo",V12="Manual"),"25%",""))))))</f>
        <v>50%</v>
      </c>
      <c r="X12" s="125" t="s">
        <v>19</v>
      </c>
      <c r="Y12" s="125" t="s">
        <v>21</v>
      </c>
      <c r="Z12" s="125" t="s">
        <v>111</v>
      </c>
      <c r="AA12" s="127">
        <f>IFERROR(IF(AND(T11="Probabilidad",T12="Probabilidad"),(AC11-(+AC11*W12)),IF(T12="Probabilidad",(L11-(+L11*W12)),IF(T12="Impacto",AC11,""))),"")</f>
        <v>0.15</v>
      </c>
      <c r="AB12" s="128" t="str">
        <f t="shared" ref="AB12:AB70" si="2">IFERROR(IF(AA12="","",IF(AA12&lt;=0.2,"Muy Baja",IF(AA12&lt;=0.4,"Baja",IF(AA12&lt;=0.6,"Media",IF(AA12&lt;=0.8,"Alta","Muy Alta"))))),"")</f>
        <v>Muy Baja</v>
      </c>
      <c r="AC12" s="129">
        <f t="shared" ref="AC12:AC16" si="3">+AA12</f>
        <v>0.15</v>
      </c>
      <c r="AD12" s="128" t="str">
        <f t="shared" ref="AD12:AD70" si="4">IFERROR(IF(AE12="","",IF(AE12&lt;=0.2,"Leve",IF(AE12&lt;=0.4,"Menor",IF(AE12&lt;=0.6,"Moderado",IF(AE12&lt;=0.8,"Mayor","Catastrófico"))))),"")</f>
        <v>Menor</v>
      </c>
      <c r="AE12" s="129">
        <f>IFERROR(IF(AND(T11="Impacto",T12="Impacto"),(AE11-(+AE11*W12)),IF(T12="Impacto",(P11-(+P11*W12)),IF(T12="Probabilidad",AE11,""))),"")</f>
        <v>0.4</v>
      </c>
      <c r="AF12" s="130" t="str">
        <f t="shared" ref="AF12:AF16" si="5">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Bajo</v>
      </c>
      <c r="AG12" s="131" t="s">
        <v>30</v>
      </c>
      <c r="AH12" s="132"/>
      <c r="AI12" s="133"/>
      <c r="AJ12" s="134"/>
      <c r="AK12" s="134"/>
      <c r="AL12" s="132"/>
      <c r="AM12" s="133"/>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row>
    <row r="13" spans="1:85" ht="68.45" customHeight="1" x14ac:dyDescent="0.3">
      <c r="A13" s="264"/>
      <c r="B13" s="218"/>
      <c r="C13" s="218"/>
      <c r="D13" s="218"/>
      <c r="E13" s="138"/>
      <c r="F13" s="164"/>
      <c r="G13" s="267"/>
      <c r="H13" s="267"/>
      <c r="I13" s="218"/>
      <c r="J13" s="224"/>
      <c r="K13" s="227"/>
      <c r="L13" s="230"/>
      <c r="M13" s="233"/>
      <c r="N13" s="230">
        <f>IF(NOT(ISERROR(MATCH(M13,_xlfn.ANCHORARRAY(H24),0))),L26&amp;"Por favor no seleccionar los criterios de impacto",M13)</f>
        <v>0</v>
      </c>
      <c r="O13" s="227"/>
      <c r="P13" s="230"/>
      <c r="Q13" s="221"/>
      <c r="R13" s="122">
        <v>3</v>
      </c>
      <c r="S13" s="135"/>
      <c r="T13" s="124" t="str">
        <f t="shared" si="0"/>
        <v/>
      </c>
      <c r="U13" s="125"/>
      <c r="V13" s="125"/>
      <c r="W13" s="126" t="str">
        <f t="shared" si="1"/>
        <v/>
      </c>
      <c r="X13" s="125"/>
      <c r="Y13" s="125"/>
      <c r="Z13" s="125"/>
      <c r="AA13" s="127" t="str">
        <f>IFERROR(IF(AND(T12="Probabilidad",T13="Probabilidad"),(AC12-(+AC12*W13)),IF(AND(T12="Impacto",T13="Probabilidad"),(AC11-(+AC11*W13)),IF(T13="Impacto",AC12,""))),"")</f>
        <v/>
      </c>
      <c r="AB13" s="128" t="str">
        <f t="shared" si="2"/>
        <v/>
      </c>
      <c r="AC13" s="129" t="str">
        <f t="shared" si="3"/>
        <v/>
      </c>
      <c r="AD13" s="128" t="str">
        <f t="shared" si="4"/>
        <v/>
      </c>
      <c r="AE13" s="129" t="str">
        <f>IFERROR(IF(AND(T12="Impacto",T13="Impacto"),(AE12-(+AE12*W13)),IF(AND(T12="Probabilidad",T13="Impacto"),(AE11-(+AE11*W13)),IF(T13="Probabilidad",AE12,""))),"")</f>
        <v/>
      </c>
      <c r="AF13" s="130" t="str">
        <f t="shared" si="5"/>
        <v/>
      </c>
      <c r="AG13" s="131"/>
      <c r="AH13" s="132"/>
      <c r="AI13" s="133"/>
      <c r="AJ13" s="134"/>
      <c r="AK13" s="134"/>
      <c r="AL13" s="132"/>
      <c r="AM13" s="133"/>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row>
    <row r="14" spans="1:85" ht="68.45" customHeight="1" x14ac:dyDescent="0.3">
      <c r="A14" s="264"/>
      <c r="B14" s="218"/>
      <c r="C14" s="218"/>
      <c r="D14" s="218"/>
      <c r="E14" s="138"/>
      <c r="F14" s="164"/>
      <c r="G14" s="267"/>
      <c r="H14" s="267"/>
      <c r="I14" s="218"/>
      <c r="J14" s="224"/>
      <c r="K14" s="227"/>
      <c r="L14" s="230"/>
      <c r="M14" s="233"/>
      <c r="N14" s="230">
        <f>IF(NOT(ISERROR(MATCH(M14,_xlfn.ANCHORARRAY(H25),0))),L27&amp;"Por favor no seleccionar los criterios de impacto",M14)</f>
        <v>0</v>
      </c>
      <c r="O14" s="227"/>
      <c r="P14" s="230"/>
      <c r="Q14" s="221"/>
      <c r="R14" s="122">
        <v>4</v>
      </c>
      <c r="S14" s="123"/>
      <c r="T14" s="124" t="str">
        <f t="shared" si="0"/>
        <v/>
      </c>
      <c r="U14" s="125"/>
      <c r="V14" s="125"/>
      <c r="W14" s="126" t="str">
        <f t="shared" si="1"/>
        <v/>
      </c>
      <c r="X14" s="125"/>
      <c r="Y14" s="125"/>
      <c r="Z14" s="125"/>
      <c r="AA14" s="127" t="str">
        <f t="shared" ref="AA14:AA16" si="6">IFERROR(IF(AND(T13="Probabilidad",T14="Probabilidad"),(AC13-(+AC13*W14)),IF(AND(T13="Impacto",T14="Probabilidad"),(AC12-(+AC12*W14)),IF(T14="Impacto",AC13,""))),"")</f>
        <v/>
      </c>
      <c r="AB14" s="128" t="str">
        <f t="shared" si="2"/>
        <v/>
      </c>
      <c r="AC14" s="129" t="str">
        <f t="shared" si="3"/>
        <v/>
      </c>
      <c r="AD14" s="128" t="str">
        <f t="shared" si="4"/>
        <v/>
      </c>
      <c r="AE14" s="129" t="str">
        <f t="shared" ref="AE14:AE16" si="7">IFERROR(IF(AND(T13="Impacto",T14="Impacto"),(AE13-(+AE13*W14)),IF(AND(T13="Probabilidad",T14="Impacto"),(AE12-(+AE12*W14)),IF(T14="Probabilidad",AE13,""))),"")</f>
        <v/>
      </c>
      <c r="AF14" s="130" t="str">
        <f>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1"/>
      <c r="AH14" s="132"/>
      <c r="AI14" s="133"/>
      <c r="AJ14" s="134"/>
      <c r="AK14" s="134"/>
      <c r="AL14" s="132"/>
      <c r="AM14" s="133"/>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85" ht="68.45" customHeight="1" x14ac:dyDescent="0.3">
      <c r="A15" s="264"/>
      <c r="B15" s="218"/>
      <c r="C15" s="218"/>
      <c r="D15" s="218"/>
      <c r="E15" s="138"/>
      <c r="F15" s="164"/>
      <c r="G15" s="267"/>
      <c r="H15" s="267"/>
      <c r="I15" s="218"/>
      <c r="J15" s="224"/>
      <c r="K15" s="227"/>
      <c r="L15" s="230"/>
      <c r="M15" s="233"/>
      <c r="N15" s="230">
        <f>IF(NOT(ISERROR(MATCH(M15,_xlfn.ANCHORARRAY(H26),0))),L28&amp;"Por favor no seleccionar los criterios de impacto",M15)</f>
        <v>0</v>
      </c>
      <c r="O15" s="227"/>
      <c r="P15" s="230"/>
      <c r="Q15" s="221"/>
      <c r="R15" s="122">
        <v>5</v>
      </c>
      <c r="S15" s="123"/>
      <c r="T15" s="124" t="str">
        <f t="shared" si="0"/>
        <v/>
      </c>
      <c r="U15" s="125"/>
      <c r="V15" s="125"/>
      <c r="W15" s="126" t="str">
        <f t="shared" si="1"/>
        <v/>
      </c>
      <c r="X15" s="125"/>
      <c r="Y15" s="125"/>
      <c r="Z15" s="125"/>
      <c r="AA15" s="127" t="str">
        <f t="shared" si="6"/>
        <v/>
      </c>
      <c r="AB15" s="128" t="str">
        <f t="shared" si="2"/>
        <v/>
      </c>
      <c r="AC15" s="129" t="str">
        <f t="shared" si="3"/>
        <v/>
      </c>
      <c r="AD15" s="128" t="str">
        <f t="shared" si="4"/>
        <v/>
      </c>
      <c r="AE15" s="129" t="str">
        <f t="shared" si="7"/>
        <v/>
      </c>
      <c r="AF15" s="130" t="str">
        <f t="shared" si="5"/>
        <v/>
      </c>
      <c r="AG15" s="131"/>
      <c r="AH15" s="132"/>
      <c r="AI15" s="133"/>
      <c r="AJ15" s="134"/>
      <c r="AK15" s="134"/>
      <c r="AL15" s="132"/>
      <c r="AM15" s="133"/>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85" ht="68.45" customHeight="1" x14ac:dyDescent="0.3">
      <c r="A16" s="265"/>
      <c r="B16" s="219"/>
      <c r="C16" s="219"/>
      <c r="D16" s="219"/>
      <c r="E16" s="139"/>
      <c r="F16" s="165"/>
      <c r="G16" s="268"/>
      <c r="H16" s="268"/>
      <c r="I16" s="219"/>
      <c r="J16" s="225"/>
      <c r="K16" s="228"/>
      <c r="L16" s="231"/>
      <c r="M16" s="234"/>
      <c r="N16" s="231">
        <f>IF(NOT(ISERROR(MATCH(M16,_xlfn.ANCHORARRAY(H27),0))),L29&amp;"Por favor no seleccionar los criterios de impacto",M16)</f>
        <v>0</v>
      </c>
      <c r="O16" s="228"/>
      <c r="P16" s="231"/>
      <c r="Q16" s="222"/>
      <c r="R16" s="122"/>
      <c r="S16" s="123"/>
      <c r="T16" s="124" t="str">
        <f t="shared" si="0"/>
        <v/>
      </c>
      <c r="U16" s="125"/>
      <c r="V16" s="125"/>
      <c r="W16" s="126" t="str">
        <f t="shared" si="1"/>
        <v/>
      </c>
      <c r="X16" s="125"/>
      <c r="Y16" s="125"/>
      <c r="Z16" s="125"/>
      <c r="AA16" s="127" t="str">
        <f t="shared" si="6"/>
        <v/>
      </c>
      <c r="AB16" s="128" t="str">
        <f t="shared" si="2"/>
        <v/>
      </c>
      <c r="AC16" s="129" t="str">
        <f t="shared" si="3"/>
        <v/>
      </c>
      <c r="AD16" s="128" t="str">
        <f t="shared" si="4"/>
        <v/>
      </c>
      <c r="AE16" s="129" t="str">
        <f t="shared" si="7"/>
        <v/>
      </c>
      <c r="AF16" s="130" t="str">
        <f t="shared" si="5"/>
        <v/>
      </c>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row>
    <row r="17" spans="1:85" s="169" customFormat="1" ht="72.75" customHeight="1" x14ac:dyDescent="0.3">
      <c r="A17" s="263">
        <v>2</v>
      </c>
      <c r="B17" s="217" t="s">
        <v>184</v>
      </c>
      <c r="C17" s="217" t="s">
        <v>296</v>
      </c>
      <c r="D17" s="217" t="s">
        <v>116</v>
      </c>
      <c r="E17" s="175" t="s">
        <v>305</v>
      </c>
      <c r="F17" s="163" t="s">
        <v>306</v>
      </c>
      <c r="G17" s="266" t="s">
        <v>194</v>
      </c>
      <c r="H17" s="266" t="s">
        <v>307</v>
      </c>
      <c r="I17" s="217" t="s">
        <v>214</v>
      </c>
      <c r="J17" s="223">
        <v>5</v>
      </c>
      <c r="K17" s="226" t="str">
        <f>IF(J17&lt;=0,"",IF(J17&lt;=2,"Muy Baja",IF(J17&lt;=24,"Baja",IF(J17&lt;=500,"Media",IF(J17&lt;=5000,"Alta","Muy Alta")))))</f>
        <v>Baja</v>
      </c>
      <c r="L17" s="229">
        <f>IF(K17="","",IF(K17="Muy Baja",0.2,IF(K17="Baja",0.4,IF(K17="Media",0.6,IF(K17="Alta",0.8,IF(K17="Muy Alta",1,))))))</f>
        <v>0.4</v>
      </c>
      <c r="M17" s="232" t="s">
        <v>136</v>
      </c>
      <c r="N17" s="229" t="str">
        <f>IF(NOT(ISERROR(MATCH(M17,'Tabla Impacto'!$B$221:$B$223,0))),'Tabla Impacto'!$F$223&amp;"Por favor no seleccionar los criterios de impacto(Afectación Económica o presupuestal y Pérdida Reputacional)",M17)</f>
        <v xml:space="preserve">     El riesgo afecta la imagen de la entidad internamente, de conocimiento general, nivel interno, de junta dircetiva y accionistas y/o de provedores</v>
      </c>
      <c r="O17" s="226" t="str">
        <f>IF(OR(N17='Tabla Impacto'!$C$11,N17='Tabla Impacto'!$D$11),"Leve",IF(OR(N17='Tabla Impacto'!$C$12,N17='Tabla Impacto'!$D$12),"Menor",IF(OR(N17='Tabla Impacto'!$C$13,N17='Tabla Impacto'!$D$13),"Moderado",IF(OR(N17='Tabla Impacto'!$C$14,N17='Tabla Impacto'!$D$14),"Mayor",IF(OR(N17='Tabla Impacto'!$C$15,N17='Tabla Impacto'!$D$15),"Catastrófico","")))))</f>
        <v>Menor</v>
      </c>
      <c r="P17" s="229">
        <f>IF(O17="","",IF(O17="Leve",0.2,IF(O17="Menor",0.4,IF(O17="Moderado",0.6,IF(O17="Mayor",0.8,IF(O17="Catastrófico",1,))))))</f>
        <v>0.4</v>
      </c>
      <c r="Q17" s="220" t="str">
        <f>IF(OR(AND(K17="Muy Baja",O17="Leve"),AND(K17="Muy Baja",O17="Menor"),AND(K17="Baja",O17="Leve")),"Bajo",IF(OR(AND(K17="Muy baja",O17="Moderado"),AND(K17="Baja",O17="Menor"),AND(K17="Baja",O17="Moderado"),AND(K17="Media",O17="Leve"),AND(K17="Media",O17="Menor"),AND(K17="Media",O17="Moderado"),AND(K17="Alta",O17="Leve"),AND(K17="Alta",O17="Menor")),"Moderado",IF(OR(AND(K17="Muy Baja",O17="Mayor"),AND(K17="Baja",O17="Mayor"),AND(K17="Media",O17="Mayor"),AND(K17="Alta",O17="Moderado"),AND(K17="Alta",O17="Mayor"),AND(K17="Muy Alta",O17="Leve"),AND(K17="Muy Alta",O17="Menor"),AND(K17="Muy Alta",O17="Moderado"),AND(K17="Muy Alta",O17="Mayor")),"Alto",IF(OR(AND(K17="Muy Baja",O17="Catastrófico"),AND(K17="Baja",O17="Catastrófico"),AND(K17="Media",O17="Catastrófico"),AND(K17="Alta",O17="Catastrófico"),AND(K17="Muy Alta",O17="Catastrófico")),"Extremo",""))))</f>
        <v>Moderado</v>
      </c>
      <c r="R17" s="174">
        <v>1</v>
      </c>
      <c r="S17" s="123" t="s">
        <v>303</v>
      </c>
      <c r="T17" s="172" t="str">
        <f t="shared" si="0"/>
        <v>Probabilidad</v>
      </c>
      <c r="U17" s="170" t="s">
        <v>13</v>
      </c>
      <c r="V17" s="170" t="s">
        <v>8</v>
      </c>
      <c r="W17" s="171" t="str">
        <f>IF(AND(U17="Preventivo",V17="Automático"),"50%",IF(AND(U17="Preventivo",V17="Manual"),"40%",IF(AND(U17="Detectivo",V17="Automático"),"40%",IF(AND(U17="Detectivo",V17="Manual"),"30%",IF(AND(U17="Correctivo",V17="Automático"),"35%",IF(AND(U17="Correctivo",V17="Manual"),"25%",""))))))</f>
        <v>40%</v>
      </c>
      <c r="X17" s="170" t="s">
        <v>19</v>
      </c>
      <c r="Y17" s="170" t="s">
        <v>21</v>
      </c>
      <c r="Z17" s="170" t="s">
        <v>111</v>
      </c>
      <c r="AA17" s="173">
        <f>IFERROR(IF(T17="Probabilidad",(L17-(+L17*W17)),IF(T17="Impacto",L17,"")),"")</f>
        <v>0.24</v>
      </c>
      <c r="AB17" s="166" t="str">
        <f>IFERROR(IF(AA17="","",IF(AA17&lt;=0.2,"Muy Baja",IF(AA17&lt;=0.4,"Baja",IF(AA17&lt;=0.6,"Media",IF(AA17&lt;=0.8,"Alta","Muy Alta"))))),"")</f>
        <v>Baja</v>
      </c>
      <c r="AC17" s="167">
        <f>+AA17</f>
        <v>0.24</v>
      </c>
      <c r="AD17" s="166" t="str">
        <f>IFERROR(IF(AE17="","",IF(AE17&lt;=0.2,"Leve",IF(AE17&lt;=0.4,"Menor",IF(AE17&lt;=0.6,"Moderado",IF(AE17&lt;=0.8,"Mayor","Catastrófico"))))),"")</f>
        <v>Menor</v>
      </c>
      <c r="AE17" s="167">
        <f>IFERROR(IF(T17="Impacto",(P17-(+P17*W17)),IF(T17="Probabilidad",P17,"")),"")</f>
        <v>0.4</v>
      </c>
      <c r="AF17" s="168" t="str">
        <f>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Moderado</v>
      </c>
      <c r="AG17" s="133" t="s">
        <v>30</v>
      </c>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row>
    <row r="18" spans="1:85" s="169" customFormat="1" ht="206.25" customHeight="1" x14ac:dyDescent="0.3">
      <c r="A18" s="264"/>
      <c r="B18" s="218"/>
      <c r="C18" s="218"/>
      <c r="D18" s="218"/>
      <c r="E18" s="176"/>
      <c r="F18" s="164" t="s">
        <v>301</v>
      </c>
      <c r="G18" s="267"/>
      <c r="H18" s="267"/>
      <c r="I18" s="218"/>
      <c r="J18" s="224"/>
      <c r="K18" s="227"/>
      <c r="L18" s="230"/>
      <c r="M18" s="233"/>
      <c r="N18" s="230">
        <f>IF(NOT(ISERROR(MATCH(M18,_xlfn.ANCHORARRAY(H29),0))),L31&amp;"Por favor no seleccionar los criterios de impacto",M18)</f>
        <v>0</v>
      </c>
      <c r="O18" s="227"/>
      <c r="P18" s="230"/>
      <c r="Q18" s="221"/>
      <c r="R18" s="174">
        <v>2</v>
      </c>
      <c r="S18" s="123" t="s">
        <v>308</v>
      </c>
      <c r="T18" s="172" t="str">
        <f t="shared" si="0"/>
        <v>Impacto</v>
      </c>
      <c r="U18" s="170" t="s">
        <v>15</v>
      </c>
      <c r="V18" s="170" t="s">
        <v>8</v>
      </c>
      <c r="W18" s="171" t="str">
        <f t="shared" ref="W18:W22" si="8">IF(AND(U18="Preventivo",V18="Automático"),"50%",IF(AND(U18="Preventivo",V18="Manual"),"40%",IF(AND(U18="Detectivo",V18="Automático"),"40%",IF(AND(U18="Detectivo",V18="Manual"),"30%",IF(AND(U18="Correctivo",V18="Automático"),"35%",IF(AND(U18="Correctivo",V18="Manual"),"25%",""))))))</f>
        <v>25%</v>
      </c>
      <c r="X18" s="170" t="s">
        <v>19</v>
      </c>
      <c r="Y18" s="170" t="s">
        <v>21</v>
      </c>
      <c r="Z18" s="170" t="s">
        <v>111</v>
      </c>
      <c r="AA18" s="173">
        <f>IFERROR(IF(AND(T17="Probabilidad",T18="Probabilidad"),(AC17-(+AC17*W18)),IF(T18="Probabilidad",(L17-(+L17*W18)),IF(T18="Impacto",AC17,""))),"")</f>
        <v>0.24</v>
      </c>
      <c r="AB18" s="166" t="str">
        <f t="shared" si="2"/>
        <v>Baja</v>
      </c>
      <c r="AC18" s="167">
        <f t="shared" ref="AC18:AC22" si="9">+AA18</f>
        <v>0.24</v>
      </c>
      <c r="AD18" s="166" t="str">
        <f t="shared" si="4"/>
        <v>Menor</v>
      </c>
      <c r="AE18" s="167">
        <f>IFERROR(IF(AND(T17="Impacto",T18="Impacto"),(AE17-(+AE17*W18)),IF(T18="Impacto",(P17-(+P17*W18)),IF(T18="Probabilidad",AE17,""))),"")</f>
        <v>0.30000000000000004</v>
      </c>
      <c r="AF18" s="168" t="str">
        <f t="shared" ref="AF18:AF19" si="10">IFERROR(IF(OR(AND(AB18="Muy Baja",AD18="Leve"),AND(AB18="Muy Baja",AD18="Menor"),AND(AB18="Baja",AD18="Leve")),"Bajo",IF(OR(AND(AB18="Muy baja",AD18="Moderado"),AND(AB18="Baja",AD18="Menor"),AND(AB18="Baja",AD18="Moderado"),AND(AB18="Media",AD18="Leve"),AND(AB18="Media",AD18="Menor"),AND(AB18="Media",AD18="Moderado"),AND(AB18="Alta",AD18="Leve"),AND(AB18="Alta",AD18="Menor")),"Moderado",IF(OR(AND(AB18="Muy Baja",AD18="Mayor"),AND(AB18="Baja",AD18="Mayor"),AND(AB18="Media",AD18="Mayor"),AND(AB18="Alta",AD18="Moderado"),AND(AB18="Alta",AD18="Mayor"),AND(AB18="Muy Alta",AD18="Leve"),AND(AB18="Muy Alta",AD18="Menor"),AND(AB18="Muy Alta",AD18="Moderado"),AND(AB18="Muy Alta",AD18="Mayor")),"Alto",IF(OR(AND(AB18="Muy Baja",AD18="Catastrófico"),AND(AB18="Baja",AD18="Catastrófico"),AND(AB18="Media",AD18="Catastrófico"),AND(AB18="Alta",AD18="Catastrófico"),AND(AB18="Muy Alta",AD18="Catastrófico")),"Extremo","")))),"")</f>
        <v>Moderado</v>
      </c>
      <c r="AG18" s="133" t="s">
        <v>30</v>
      </c>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row>
    <row r="19" spans="1:85" ht="68.45" customHeight="1" x14ac:dyDescent="0.3">
      <c r="A19" s="264"/>
      <c r="B19" s="218"/>
      <c r="C19" s="218"/>
      <c r="D19" s="218"/>
      <c r="E19" s="138"/>
      <c r="F19" s="164"/>
      <c r="G19" s="267"/>
      <c r="H19" s="267"/>
      <c r="I19" s="218"/>
      <c r="J19" s="224"/>
      <c r="K19" s="227"/>
      <c r="L19" s="230"/>
      <c r="M19" s="233"/>
      <c r="N19" s="230">
        <f>IF(NOT(ISERROR(MATCH(M19,_xlfn.ANCHORARRAY(H30),0))),L32&amp;"Por favor no seleccionar los criterios de impacto",M19)</f>
        <v>0</v>
      </c>
      <c r="O19" s="227"/>
      <c r="P19" s="230"/>
      <c r="Q19" s="221"/>
      <c r="R19" s="122">
        <v>3</v>
      </c>
      <c r="S19" s="135"/>
      <c r="T19" s="124" t="str">
        <f t="shared" si="0"/>
        <v/>
      </c>
      <c r="U19" s="125"/>
      <c r="V19" s="125"/>
      <c r="W19" s="126" t="str">
        <f t="shared" si="8"/>
        <v/>
      </c>
      <c r="X19" s="125"/>
      <c r="Y19" s="125"/>
      <c r="Z19" s="125"/>
      <c r="AA19" s="127" t="str">
        <f>IFERROR(IF(AND(T18="Probabilidad",T19="Probabilidad"),(AC18-(+AC18*W19)),IF(AND(T18="Impacto",T19="Probabilidad"),(AC17-(+AC17*W19)),IF(T19="Impacto",AC18,""))),"")</f>
        <v/>
      </c>
      <c r="AB19" s="128" t="str">
        <f t="shared" si="2"/>
        <v/>
      </c>
      <c r="AC19" s="129" t="str">
        <f t="shared" si="9"/>
        <v/>
      </c>
      <c r="AD19" s="128" t="str">
        <f t="shared" si="4"/>
        <v/>
      </c>
      <c r="AE19" s="129" t="str">
        <f>IFERROR(IF(AND(T18="Impacto",T19="Impacto"),(AE18-(+AE18*W19)),IF(AND(T18="Probabilidad",T19="Impacto"),(AE17-(+AE17*W19)),IF(T19="Probabilidad",AE18,""))),"")</f>
        <v/>
      </c>
      <c r="AF19" s="130" t="str">
        <f t="shared" si="10"/>
        <v/>
      </c>
      <c r="AG19" s="131"/>
      <c r="AH19" s="132"/>
      <c r="AI19" s="133"/>
      <c r="AJ19" s="134"/>
      <c r="AK19" s="134"/>
      <c r="AL19" s="132"/>
      <c r="AM19" s="133"/>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85" ht="68.45" customHeight="1" x14ac:dyDescent="0.3">
      <c r="A20" s="264"/>
      <c r="B20" s="218"/>
      <c r="C20" s="218"/>
      <c r="D20" s="218"/>
      <c r="E20" s="138"/>
      <c r="F20" s="164"/>
      <c r="G20" s="267"/>
      <c r="H20" s="267"/>
      <c r="I20" s="218"/>
      <c r="J20" s="224"/>
      <c r="K20" s="227"/>
      <c r="L20" s="230"/>
      <c r="M20" s="233"/>
      <c r="N20" s="230">
        <f>IF(NOT(ISERROR(MATCH(M20,_xlfn.ANCHORARRAY(H31),0))),L33&amp;"Por favor no seleccionar los criterios de impacto",M20)</f>
        <v>0</v>
      </c>
      <c r="O20" s="227"/>
      <c r="P20" s="230"/>
      <c r="Q20" s="221"/>
      <c r="R20" s="122">
        <v>4</v>
      </c>
      <c r="S20" s="123"/>
      <c r="T20" s="124" t="str">
        <f t="shared" si="0"/>
        <v/>
      </c>
      <c r="U20" s="125"/>
      <c r="V20" s="125"/>
      <c r="W20" s="126" t="str">
        <f t="shared" si="8"/>
        <v/>
      </c>
      <c r="X20" s="125"/>
      <c r="Y20" s="125"/>
      <c r="Z20" s="125"/>
      <c r="AA20" s="127" t="str">
        <f t="shared" ref="AA20:AA22" si="11">IFERROR(IF(AND(T19="Probabilidad",T20="Probabilidad"),(AC19-(+AC19*W20)),IF(AND(T19="Impacto",T20="Probabilidad"),(AC18-(+AC18*W20)),IF(T20="Impacto",AC19,""))),"")</f>
        <v/>
      </c>
      <c r="AB20" s="128" t="str">
        <f t="shared" si="2"/>
        <v/>
      </c>
      <c r="AC20" s="129" t="str">
        <f t="shared" si="9"/>
        <v/>
      </c>
      <c r="AD20" s="128" t="str">
        <f t="shared" si="4"/>
        <v/>
      </c>
      <c r="AE20" s="129" t="str">
        <f t="shared" ref="AE20:AE22" si="12">IFERROR(IF(AND(T19="Impacto",T20="Impacto"),(AE19-(+AE19*W20)),IF(AND(T19="Probabilidad",T20="Impacto"),(AE18-(+AE18*W20)),IF(T20="Probabilidad",AE19,""))),"")</f>
        <v/>
      </c>
      <c r="AF20" s="130" t="str">
        <f>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31"/>
      <c r="AH20" s="132"/>
      <c r="AI20" s="133"/>
      <c r="AJ20" s="134"/>
      <c r="AK20" s="134"/>
      <c r="AL20" s="132"/>
      <c r="AM20" s="133"/>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85" ht="68.45" customHeight="1" x14ac:dyDescent="0.3">
      <c r="A21" s="264"/>
      <c r="B21" s="218"/>
      <c r="C21" s="218"/>
      <c r="D21" s="218"/>
      <c r="E21" s="138"/>
      <c r="F21" s="164"/>
      <c r="G21" s="267"/>
      <c r="H21" s="267"/>
      <c r="I21" s="218"/>
      <c r="J21" s="224"/>
      <c r="K21" s="227"/>
      <c r="L21" s="230"/>
      <c r="M21" s="233"/>
      <c r="N21" s="230">
        <f>IF(NOT(ISERROR(MATCH(M21,_xlfn.ANCHORARRAY(H32),0))),L34&amp;"Por favor no seleccionar los criterios de impacto",M21)</f>
        <v>0</v>
      </c>
      <c r="O21" s="227"/>
      <c r="P21" s="230"/>
      <c r="Q21" s="221"/>
      <c r="R21" s="122">
        <v>5</v>
      </c>
      <c r="S21" s="123"/>
      <c r="T21" s="124" t="str">
        <f t="shared" si="0"/>
        <v/>
      </c>
      <c r="U21" s="125"/>
      <c r="V21" s="125"/>
      <c r="W21" s="126" t="str">
        <f t="shared" si="8"/>
        <v/>
      </c>
      <c r="X21" s="125"/>
      <c r="Y21" s="125"/>
      <c r="Z21" s="125"/>
      <c r="AA21" s="127" t="str">
        <f t="shared" si="11"/>
        <v/>
      </c>
      <c r="AB21" s="128" t="str">
        <f t="shared" si="2"/>
        <v/>
      </c>
      <c r="AC21" s="129" t="str">
        <f t="shared" si="9"/>
        <v/>
      </c>
      <c r="AD21" s="128" t="str">
        <f t="shared" si="4"/>
        <v/>
      </c>
      <c r="AE21" s="129" t="str">
        <f t="shared" si="12"/>
        <v/>
      </c>
      <c r="AF21" s="130" t="str">
        <f t="shared" ref="AF21:AF22" si="13">IFERROR(IF(OR(AND(AB21="Muy Baja",AD21="Leve"),AND(AB21="Muy Baja",AD21="Menor"),AND(AB21="Baja",AD21="Leve")),"Bajo",IF(OR(AND(AB21="Muy baja",AD21="Moderado"),AND(AB21="Baja",AD21="Menor"),AND(AB21="Baja",AD21="Moderado"),AND(AB21="Media",AD21="Leve"),AND(AB21="Media",AD21="Menor"),AND(AB21="Media",AD21="Moderado"),AND(AB21="Alta",AD21="Leve"),AND(AB21="Alta",AD21="Menor")),"Moderado",IF(OR(AND(AB21="Muy Baja",AD21="Mayor"),AND(AB21="Baja",AD21="Mayor"),AND(AB21="Media",AD21="Mayor"),AND(AB21="Alta",AD21="Moderado"),AND(AB21="Alta",AD21="Mayor"),AND(AB21="Muy Alta",AD21="Leve"),AND(AB21="Muy Alta",AD21="Menor"),AND(AB21="Muy Alta",AD21="Moderado"),AND(AB21="Muy Alta",AD21="Mayor")),"Alto",IF(OR(AND(AB21="Muy Baja",AD21="Catastrófico"),AND(AB21="Baja",AD21="Catastrófico"),AND(AB21="Media",AD21="Catastrófico"),AND(AB21="Alta",AD21="Catastrófico"),AND(AB21="Muy Alta",AD21="Catastrófico")),"Extremo","")))),"")</f>
        <v/>
      </c>
      <c r="AG21" s="131"/>
      <c r="AH21" s="132"/>
      <c r="AI21" s="133"/>
      <c r="AJ21" s="134"/>
      <c r="AK21" s="134"/>
      <c r="AL21" s="132"/>
      <c r="AM21" s="133"/>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row>
    <row r="22" spans="1:85" ht="68.45" customHeight="1" x14ac:dyDescent="0.3">
      <c r="A22" s="265"/>
      <c r="B22" s="219"/>
      <c r="C22" s="219"/>
      <c r="D22" s="219"/>
      <c r="E22" s="139"/>
      <c r="F22" s="165"/>
      <c r="G22" s="268"/>
      <c r="H22" s="268"/>
      <c r="I22" s="219"/>
      <c r="J22" s="225"/>
      <c r="K22" s="228"/>
      <c r="L22" s="231"/>
      <c r="M22" s="234"/>
      <c r="N22" s="231">
        <f>IF(NOT(ISERROR(MATCH(M22,_xlfn.ANCHORARRAY(H33),0))),L35&amp;"Por favor no seleccionar los criterios de impacto",M22)</f>
        <v>0</v>
      </c>
      <c r="O22" s="228"/>
      <c r="P22" s="231"/>
      <c r="Q22" s="222"/>
      <c r="R22" s="122">
        <v>6</v>
      </c>
      <c r="S22" s="123"/>
      <c r="T22" s="124" t="str">
        <f t="shared" si="0"/>
        <v/>
      </c>
      <c r="U22" s="125"/>
      <c r="V22" s="125"/>
      <c r="W22" s="126" t="str">
        <f t="shared" si="8"/>
        <v/>
      </c>
      <c r="X22" s="125"/>
      <c r="Y22" s="125"/>
      <c r="Z22" s="125"/>
      <c r="AA22" s="127" t="str">
        <f t="shared" si="11"/>
        <v/>
      </c>
      <c r="AB22" s="128" t="str">
        <f t="shared" si="2"/>
        <v/>
      </c>
      <c r="AC22" s="129" t="str">
        <f t="shared" si="9"/>
        <v/>
      </c>
      <c r="AD22" s="128" t="str">
        <f t="shared" si="4"/>
        <v/>
      </c>
      <c r="AE22" s="129" t="str">
        <f t="shared" si="12"/>
        <v/>
      </c>
      <c r="AF22" s="130" t="str">
        <f t="shared" si="13"/>
        <v/>
      </c>
      <c r="AG22" s="131"/>
      <c r="AH22" s="132"/>
      <c r="AI22" s="133"/>
      <c r="AJ22" s="134"/>
      <c r="AK22" s="134"/>
      <c r="AL22" s="132"/>
      <c r="AM22" s="133"/>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row>
    <row r="23" spans="1:85" ht="93.75" customHeight="1" x14ac:dyDescent="0.3">
      <c r="A23" s="263">
        <v>3</v>
      </c>
      <c r="B23" s="217"/>
      <c r="C23" s="217"/>
      <c r="D23" s="217"/>
      <c r="E23" s="137"/>
      <c r="F23" s="163"/>
      <c r="G23" s="266"/>
      <c r="H23" s="266"/>
      <c r="I23" s="217"/>
      <c r="J23" s="223"/>
      <c r="K23" s="226" t="str">
        <f>IF(J23&lt;=0,"",IF(J23&lt;=2,"Muy Baja",IF(J23&lt;=24,"Baja",IF(J23&lt;=500,"Media",IF(J23&lt;=5000,"Alta","Muy Alta")))))</f>
        <v/>
      </c>
      <c r="L23" s="229" t="str">
        <f>IF(K23="","",IF(K23="Muy Baja",0.2,IF(K23="Baja",0.4,IF(K23="Media",0.6,IF(K23="Alta",0.8,IF(K23="Muy Alta",1,))))))</f>
        <v/>
      </c>
      <c r="M23" s="232"/>
      <c r="N23" s="229">
        <f>IF(NOT(ISERROR(MATCH(M23,'Tabla Impacto'!$B$221:$B$223,0))),'Tabla Impacto'!$F$223&amp;"Por favor no seleccionar los criterios de impacto(Afectación Económica o presupuestal y Pérdida Reputacional)",M23)</f>
        <v>0</v>
      </c>
      <c r="O23" s="226" t="str">
        <f>IF(OR(N23='Tabla Impacto'!$C$11,N23='Tabla Impacto'!$D$11),"Leve",IF(OR(N23='Tabla Impacto'!$C$12,N23='Tabla Impacto'!$D$12),"Menor",IF(OR(N23='Tabla Impacto'!$C$13,N23='Tabla Impacto'!$D$13),"Moderado",IF(OR(N23='Tabla Impacto'!$C$14,N23='Tabla Impacto'!$D$14),"Mayor",IF(OR(N23='Tabla Impacto'!$C$15,N23='Tabla Impacto'!$D$15),"Catastrófico","")))))</f>
        <v/>
      </c>
      <c r="P23" s="229" t="str">
        <f>IF(O23="","",IF(O23="Leve",0.2,IF(O23="Menor",0.4,IF(O23="Moderado",0.6,IF(O23="Mayor",0.8,IF(O23="Catastrófico",1,))))))</f>
        <v/>
      </c>
      <c r="Q23" s="220" t="str">
        <f>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
      </c>
      <c r="R23" s="122">
        <v>1</v>
      </c>
      <c r="S23" s="123"/>
      <c r="T23" s="124"/>
      <c r="U23" s="125"/>
      <c r="V23" s="125"/>
      <c r="W23" s="126"/>
      <c r="X23" s="125"/>
      <c r="Y23" s="125"/>
      <c r="Z23" s="125"/>
      <c r="AA23" s="127"/>
      <c r="AB23" s="128"/>
      <c r="AC23" s="129"/>
      <c r="AD23" s="128"/>
      <c r="AE23" s="129"/>
      <c r="AF23" s="130"/>
      <c r="AG23" s="131"/>
      <c r="AH23" s="132"/>
      <c r="AI23" s="133"/>
      <c r="AJ23" s="134"/>
      <c r="AK23" s="134"/>
      <c r="AL23" s="132"/>
      <c r="AM23" s="133"/>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row>
    <row r="24" spans="1:85" ht="68.45" customHeight="1" x14ac:dyDescent="0.3">
      <c r="A24" s="264"/>
      <c r="B24" s="218"/>
      <c r="C24" s="218"/>
      <c r="D24" s="218"/>
      <c r="E24" s="138"/>
      <c r="F24" s="164"/>
      <c r="G24" s="267"/>
      <c r="H24" s="267"/>
      <c r="I24" s="218"/>
      <c r="J24" s="224"/>
      <c r="K24" s="227"/>
      <c r="L24" s="230"/>
      <c r="M24" s="233"/>
      <c r="N24" s="230">
        <f>IF(NOT(ISERROR(MATCH(M24,_xlfn.ANCHORARRAY(H35),0))),L37&amp;"Por favor no seleccionar los criterios de impacto",M24)</f>
        <v>0</v>
      </c>
      <c r="O24" s="227"/>
      <c r="P24" s="230"/>
      <c r="Q24" s="221"/>
      <c r="R24" s="122">
        <v>2</v>
      </c>
      <c r="S24" s="123"/>
      <c r="T24" s="124"/>
      <c r="U24" s="125"/>
      <c r="V24" s="125"/>
      <c r="W24" s="126"/>
      <c r="X24" s="125"/>
      <c r="Y24" s="125"/>
      <c r="Z24" s="125"/>
      <c r="AA24" s="149"/>
      <c r="AB24" s="128"/>
      <c r="AC24" s="129"/>
      <c r="AD24" s="128"/>
      <c r="AE24" s="129"/>
      <c r="AF24" s="130"/>
      <c r="AG24" s="131"/>
      <c r="AH24" s="132"/>
      <c r="AI24" s="133"/>
      <c r="AJ24" s="134"/>
      <c r="AK24" s="134"/>
      <c r="AL24" s="132"/>
      <c r="AM24" s="133"/>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row>
    <row r="25" spans="1:85" ht="68.45" customHeight="1" x14ac:dyDescent="0.3">
      <c r="A25" s="264"/>
      <c r="B25" s="218"/>
      <c r="C25" s="218"/>
      <c r="D25" s="218"/>
      <c r="E25" s="138"/>
      <c r="F25" s="164"/>
      <c r="G25" s="267"/>
      <c r="H25" s="267"/>
      <c r="I25" s="218"/>
      <c r="J25" s="224"/>
      <c r="K25" s="227"/>
      <c r="L25" s="230"/>
      <c r="M25" s="233"/>
      <c r="N25" s="230">
        <f>IF(NOT(ISERROR(MATCH(M25,_xlfn.ANCHORARRAY(H36),0))),L38&amp;"Por favor no seleccionar los criterios de impacto",M25)</f>
        <v>0</v>
      </c>
      <c r="O25" s="227"/>
      <c r="P25" s="230"/>
      <c r="Q25" s="221"/>
      <c r="R25" s="122">
        <v>3</v>
      </c>
      <c r="S25" s="135"/>
      <c r="T25" s="124" t="str">
        <f t="shared" si="0"/>
        <v/>
      </c>
      <c r="U25" s="125"/>
      <c r="V25" s="125"/>
      <c r="W25" s="126" t="str">
        <f t="shared" ref="W25:W28" si="14">IF(AND(U25="Preventivo",V25="Automático"),"50%",IF(AND(U25="Preventivo",V25="Manual"),"40%",IF(AND(U25="Detectivo",V25="Automático"),"40%",IF(AND(U25="Detectivo",V25="Manual"),"30%",IF(AND(U25="Correctivo",V25="Automático"),"35%",IF(AND(U25="Correctivo",V25="Manual"),"25%",""))))))</f>
        <v/>
      </c>
      <c r="X25" s="125"/>
      <c r="Y25" s="125"/>
      <c r="Z25" s="125"/>
      <c r="AA25" s="127" t="str">
        <f>IFERROR(IF(AND(T24="Probabilidad",T25="Probabilidad"),(AC24-(+AC24*W25)),IF(AND(T24="Impacto",T25="Probabilidad"),(AC23-(+AC23*W25)),IF(T25="Impacto",AC24,""))),"")</f>
        <v/>
      </c>
      <c r="AB25" s="128" t="str">
        <f t="shared" si="2"/>
        <v/>
      </c>
      <c r="AC25" s="129" t="str">
        <f t="shared" ref="AC25:AC28" si="15">+AA25</f>
        <v/>
      </c>
      <c r="AD25" s="128" t="str">
        <f t="shared" si="4"/>
        <v/>
      </c>
      <c r="AE25" s="129" t="str">
        <f>IFERROR(IF(AND(T24="Impacto",T25="Impacto"),(AE24-(+AE24*W25)),IF(AND(T24="Probabilidad",T25="Impacto"),(AE23-(+AE23*W25)),IF(T25="Probabilidad",AE24,""))),"")</f>
        <v/>
      </c>
      <c r="AF25" s="130" t="str">
        <f t="shared" ref="AF25" si="16">IFERROR(IF(OR(AND(AB25="Muy Baja",AD25="Leve"),AND(AB25="Muy Baja",AD25="Menor"),AND(AB25="Baja",AD25="Leve")),"Bajo",IF(OR(AND(AB25="Muy baja",AD25="Moderado"),AND(AB25="Baja",AD25="Menor"),AND(AB25="Baja",AD25="Moderado"),AND(AB25="Media",AD25="Leve"),AND(AB25="Media",AD25="Menor"),AND(AB25="Media",AD25="Moderado"),AND(AB25="Alta",AD25="Leve"),AND(AB25="Alta",AD25="Menor")),"Moderado",IF(OR(AND(AB25="Muy Baja",AD25="Mayor"),AND(AB25="Baja",AD25="Mayor"),AND(AB25="Media",AD25="Mayor"),AND(AB25="Alta",AD25="Moderado"),AND(AB25="Alta",AD25="Mayor"),AND(AB25="Muy Alta",AD25="Leve"),AND(AB25="Muy Alta",AD25="Menor"),AND(AB25="Muy Alta",AD25="Moderado"),AND(AB25="Muy Alta",AD25="Mayor")),"Alto",IF(OR(AND(AB25="Muy Baja",AD25="Catastrófico"),AND(AB25="Baja",AD25="Catastrófico"),AND(AB25="Media",AD25="Catastrófico"),AND(AB25="Alta",AD25="Catastrófico"),AND(AB25="Muy Alta",AD25="Catastrófico")),"Extremo","")))),"")</f>
        <v/>
      </c>
      <c r="AG25" s="131"/>
      <c r="AH25" s="132"/>
      <c r="AI25" s="133"/>
      <c r="AJ25" s="134"/>
      <c r="AK25" s="134"/>
      <c r="AL25" s="132"/>
      <c r="AM25" s="133"/>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row>
    <row r="26" spans="1:85" ht="68.45" customHeight="1" x14ac:dyDescent="0.3">
      <c r="A26" s="264"/>
      <c r="B26" s="218"/>
      <c r="C26" s="218"/>
      <c r="D26" s="218"/>
      <c r="E26" s="138"/>
      <c r="F26" s="164"/>
      <c r="G26" s="267"/>
      <c r="H26" s="267"/>
      <c r="I26" s="218"/>
      <c r="J26" s="224"/>
      <c r="K26" s="227"/>
      <c r="L26" s="230"/>
      <c r="M26" s="233"/>
      <c r="N26" s="230">
        <f>IF(NOT(ISERROR(MATCH(M26,_xlfn.ANCHORARRAY(H37),0))),L39&amp;"Por favor no seleccionar los criterios de impacto",M26)</f>
        <v>0</v>
      </c>
      <c r="O26" s="227"/>
      <c r="P26" s="230"/>
      <c r="Q26" s="221"/>
      <c r="R26" s="122">
        <v>4</v>
      </c>
      <c r="S26" s="123"/>
      <c r="T26" s="124" t="str">
        <f t="shared" si="0"/>
        <v/>
      </c>
      <c r="U26" s="125"/>
      <c r="V26" s="125"/>
      <c r="W26" s="126" t="str">
        <f t="shared" si="14"/>
        <v/>
      </c>
      <c r="X26" s="125"/>
      <c r="Y26" s="125"/>
      <c r="Z26" s="125"/>
      <c r="AA26" s="127" t="str">
        <f t="shared" ref="AA26:AA28" si="17">IFERROR(IF(AND(T25="Probabilidad",T26="Probabilidad"),(AC25-(+AC25*W26)),IF(AND(T25="Impacto",T26="Probabilidad"),(AC24-(+AC24*W26)),IF(T26="Impacto",AC25,""))),"")</f>
        <v/>
      </c>
      <c r="AB26" s="128" t="str">
        <f t="shared" si="2"/>
        <v/>
      </c>
      <c r="AC26" s="129" t="str">
        <f t="shared" si="15"/>
        <v/>
      </c>
      <c r="AD26" s="128" t="str">
        <f t="shared" si="4"/>
        <v/>
      </c>
      <c r="AE26" s="129" t="str">
        <f t="shared" ref="AE26:AE28" si="18">IFERROR(IF(AND(T25="Impacto",T26="Impacto"),(AE25-(+AE25*W26)),IF(AND(T25="Probabilidad",T26="Impacto"),(AE24-(+AE24*W26)),IF(T26="Probabilidad",AE25,""))),"")</f>
        <v/>
      </c>
      <c r="AF26" s="130" t="str">
        <f>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31"/>
      <c r="AH26" s="132"/>
      <c r="AI26" s="133"/>
      <c r="AJ26" s="134"/>
      <c r="AK26" s="134"/>
      <c r="AL26" s="132"/>
      <c r="AM26" s="133"/>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row>
    <row r="27" spans="1:85" ht="68.45" customHeight="1" x14ac:dyDescent="0.3">
      <c r="A27" s="264"/>
      <c r="B27" s="218"/>
      <c r="C27" s="218"/>
      <c r="D27" s="218"/>
      <c r="E27" s="138"/>
      <c r="F27" s="164"/>
      <c r="G27" s="267"/>
      <c r="H27" s="267"/>
      <c r="I27" s="218"/>
      <c r="J27" s="224"/>
      <c r="K27" s="227"/>
      <c r="L27" s="230"/>
      <c r="M27" s="233"/>
      <c r="N27" s="230">
        <f>IF(NOT(ISERROR(MATCH(M27,_xlfn.ANCHORARRAY(H38),0))),L40&amp;"Por favor no seleccionar los criterios de impacto",M27)</f>
        <v>0</v>
      </c>
      <c r="O27" s="227"/>
      <c r="P27" s="230"/>
      <c r="Q27" s="221"/>
      <c r="R27" s="122">
        <v>5</v>
      </c>
      <c r="S27" s="123"/>
      <c r="T27" s="124" t="str">
        <f t="shared" si="0"/>
        <v/>
      </c>
      <c r="U27" s="125"/>
      <c r="V27" s="125"/>
      <c r="W27" s="126" t="str">
        <f t="shared" si="14"/>
        <v/>
      </c>
      <c r="X27" s="125"/>
      <c r="Y27" s="125"/>
      <c r="Z27" s="125"/>
      <c r="AA27" s="127" t="str">
        <f t="shared" si="17"/>
        <v/>
      </c>
      <c r="AB27" s="128" t="str">
        <f t="shared" si="2"/>
        <v/>
      </c>
      <c r="AC27" s="129" t="str">
        <f t="shared" si="15"/>
        <v/>
      </c>
      <c r="AD27" s="128" t="str">
        <f t="shared" si="4"/>
        <v/>
      </c>
      <c r="AE27" s="129" t="str">
        <f t="shared" si="18"/>
        <v/>
      </c>
      <c r="AF27" s="130" t="str">
        <f t="shared" ref="AF27:AF28" si="19">IFERROR(IF(OR(AND(AB27="Muy Baja",AD27="Leve"),AND(AB27="Muy Baja",AD27="Menor"),AND(AB27="Baja",AD27="Leve")),"Bajo",IF(OR(AND(AB27="Muy baja",AD27="Moderado"),AND(AB27="Baja",AD27="Menor"),AND(AB27="Baja",AD27="Moderado"),AND(AB27="Media",AD27="Leve"),AND(AB27="Media",AD27="Menor"),AND(AB27="Media",AD27="Moderado"),AND(AB27="Alta",AD27="Leve"),AND(AB27="Alta",AD27="Menor")),"Moderado",IF(OR(AND(AB27="Muy Baja",AD27="Mayor"),AND(AB27="Baja",AD27="Mayor"),AND(AB27="Media",AD27="Mayor"),AND(AB27="Alta",AD27="Moderado"),AND(AB27="Alta",AD27="Mayor"),AND(AB27="Muy Alta",AD27="Leve"),AND(AB27="Muy Alta",AD27="Menor"),AND(AB27="Muy Alta",AD27="Moderado"),AND(AB27="Muy Alta",AD27="Mayor")),"Alto",IF(OR(AND(AB27="Muy Baja",AD27="Catastrófico"),AND(AB27="Baja",AD27="Catastrófico"),AND(AB27="Media",AD27="Catastrófico"),AND(AB27="Alta",AD27="Catastrófico"),AND(AB27="Muy Alta",AD27="Catastrófico")),"Extremo","")))),"")</f>
        <v/>
      </c>
      <c r="AG27" s="131"/>
      <c r="AH27" s="132"/>
      <c r="AI27" s="133"/>
      <c r="AJ27" s="134"/>
      <c r="AK27" s="134"/>
      <c r="AL27" s="132"/>
      <c r="AM27" s="133"/>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row>
    <row r="28" spans="1:85" ht="68.45" customHeight="1" x14ac:dyDescent="0.3">
      <c r="A28" s="265"/>
      <c r="B28" s="219"/>
      <c r="C28" s="219"/>
      <c r="D28" s="219"/>
      <c r="E28" s="139"/>
      <c r="F28" s="165"/>
      <c r="G28" s="268"/>
      <c r="H28" s="268"/>
      <c r="I28" s="219"/>
      <c r="J28" s="225"/>
      <c r="K28" s="228"/>
      <c r="L28" s="231"/>
      <c r="M28" s="234"/>
      <c r="N28" s="231">
        <f>IF(NOT(ISERROR(MATCH(M28,_xlfn.ANCHORARRAY(H39),0))),L41&amp;"Por favor no seleccionar los criterios de impacto",M28)</f>
        <v>0</v>
      </c>
      <c r="O28" s="228"/>
      <c r="P28" s="231"/>
      <c r="Q28" s="222"/>
      <c r="R28" s="122">
        <v>6</v>
      </c>
      <c r="S28" s="123"/>
      <c r="T28" s="124" t="str">
        <f t="shared" si="0"/>
        <v/>
      </c>
      <c r="U28" s="125"/>
      <c r="V28" s="125"/>
      <c r="W28" s="126" t="str">
        <f t="shared" si="14"/>
        <v/>
      </c>
      <c r="X28" s="125"/>
      <c r="Y28" s="125"/>
      <c r="Z28" s="125"/>
      <c r="AA28" s="127" t="str">
        <f t="shared" si="17"/>
        <v/>
      </c>
      <c r="AB28" s="128" t="str">
        <f t="shared" si="2"/>
        <v/>
      </c>
      <c r="AC28" s="129" t="str">
        <f t="shared" si="15"/>
        <v/>
      </c>
      <c r="AD28" s="128" t="str">
        <f t="shared" si="4"/>
        <v/>
      </c>
      <c r="AE28" s="129" t="str">
        <f t="shared" si="18"/>
        <v/>
      </c>
      <c r="AF28" s="130" t="str">
        <f t="shared" si="19"/>
        <v/>
      </c>
      <c r="AG28" s="131"/>
      <c r="AH28" s="132"/>
      <c r="AI28" s="133"/>
      <c r="AJ28" s="134"/>
      <c r="AK28" s="134"/>
      <c r="AL28" s="132"/>
      <c r="AM28" s="133"/>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85" ht="68.45" customHeight="1" x14ac:dyDescent="0.3">
      <c r="A29" s="263">
        <v>4</v>
      </c>
      <c r="B29" s="217"/>
      <c r="C29" s="217"/>
      <c r="D29" s="217"/>
      <c r="E29" s="137"/>
      <c r="F29" s="217"/>
      <c r="G29" s="266"/>
      <c r="H29" s="266"/>
      <c r="I29" s="217"/>
      <c r="J29" s="223"/>
      <c r="K29" s="226" t="str">
        <f>IF(J29&lt;=0,"",IF(J29&lt;=2,"Muy Baja",IF(J29&lt;=24,"Baja",IF(J29&lt;=500,"Media",IF(J29&lt;=5000,"Alta","Muy Alta")))))</f>
        <v/>
      </c>
      <c r="L29" s="229" t="str">
        <f>IF(K29="","",IF(K29="Muy Baja",0.2,IF(K29="Baja",0.4,IF(K29="Media",0.6,IF(K29="Alta",0.8,IF(K29="Muy Alta",1,))))))</f>
        <v/>
      </c>
      <c r="M29" s="232"/>
      <c r="N29" s="229">
        <f>IF(NOT(ISERROR(MATCH(M29,'Tabla Impacto'!$B$221:$B$223,0))),'Tabla Impacto'!$F$223&amp;"Por favor no seleccionar los criterios de impacto(Afectación Económica o presupuestal y Pérdida Reputacional)",M29)</f>
        <v>0</v>
      </c>
      <c r="O29" s="226" t="str">
        <f>IF(OR(N29='Tabla Impacto'!$C$11,N29='Tabla Impacto'!$D$11),"Leve",IF(OR(N29='Tabla Impacto'!$C$12,N29='Tabla Impacto'!$D$12),"Menor",IF(OR(N29='Tabla Impacto'!$C$13,N29='Tabla Impacto'!$D$13),"Moderado",IF(OR(N29='Tabla Impacto'!$C$14,N29='Tabla Impacto'!$D$14),"Mayor",IF(OR(N29='Tabla Impacto'!$C$15,N29='Tabla Impacto'!$D$15),"Catastrófico","")))))</f>
        <v/>
      </c>
      <c r="P29" s="229" t="str">
        <f>IF(O29="","",IF(O29="Leve",0.2,IF(O29="Menor",0.4,IF(O29="Moderado",0.6,IF(O29="Mayor",0.8,IF(O29="Catastrófico",1,))))))</f>
        <v/>
      </c>
      <c r="Q29" s="220" t="str">
        <f>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
      </c>
      <c r="R29" s="122">
        <v>1</v>
      </c>
      <c r="S29" s="123"/>
      <c r="T29" s="124" t="str">
        <f t="shared" si="0"/>
        <v/>
      </c>
      <c r="U29" s="125"/>
      <c r="V29" s="125"/>
      <c r="W29" s="126" t="str">
        <f>IF(AND(U29="Preventivo",V29="Automático"),"50%",IF(AND(U29="Preventivo",V29="Manual"),"40%",IF(AND(U29="Detectivo",V29="Automático"),"40%",IF(AND(U29="Detectivo",V29="Manual"),"30%",IF(AND(U29="Correctivo",V29="Automático"),"35%",IF(AND(U29="Correctivo",V29="Manual"),"25%",""))))))</f>
        <v/>
      </c>
      <c r="X29" s="125"/>
      <c r="Y29" s="125"/>
      <c r="Z29" s="125"/>
      <c r="AA29" s="127" t="str">
        <f>IFERROR(IF(T29="Probabilidad",(L29-(+L29*W29)),IF(T29="Impacto",L29,"")),"")</f>
        <v/>
      </c>
      <c r="AB29" s="128" t="str">
        <f>IFERROR(IF(AA29="","",IF(AA29&lt;=0.2,"Muy Baja",IF(AA29&lt;=0.4,"Baja",IF(AA29&lt;=0.6,"Media",IF(AA29&lt;=0.8,"Alta","Muy Alta"))))),"")</f>
        <v/>
      </c>
      <c r="AC29" s="129" t="str">
        <f>+AA29</f>
        <v/>
      </c>
      <c r="AD29" s="128" t="str">
        <f>IFERROR(IF(AE29="","",IF(AE29&lt;=0.2,"Leve",IF(AE29&lt;=0.4,"Menor",IF(AE29&lt;=0.6,"Moderado",IF(AE29&lt;=0.8,"Mayor","Catastrófico"))))),"")</f>
        <v/>
      </c>
      <c r="AE29" s="129" t="str">
        <f>IFERROR(IF(T29="Impacto",(P29-(+P29*W29)),IF(T29="Probabilidad",P29,"")),"")</f>
        <v/>
      </c>
      <c r="AF29" s="130" t="str">
        <f>IFERROR(IF(OR(AND(AB29="Muy Baja",AD29="Leve"),AND(AB29="Muy Baja",AD29="Menor"),AND(AB29="Baja",AD29="Leve")),"Bajo",IF(OR(AND(AB29="Muy baja",AD29="Moderado"),AND(AB29="Baja",AD29="Menor"),AND(AB29="Baja",AD29="Moderado"),AND(AB29="Media",AD29="Leve"),AND(AB29="Media",AD29="Menor"),AND(AB29="Media",AD29="Moderado"),AND(AB29="Alta",AD29="Leve"),AND(AB29="Alta",AD29="Menor")),"Moderado",IF(OR(AND(AB29="Muy Baja",AD29="Mayor"),AND(AB29="Baja",AD29="Mayor"),AND(AB29="Media",AD29="Mayor"),AND(AB29="Alta",AD29="Moderado"),AND(AB29="Alta",AD29="Mayor"),AND(AB29="Muy Alta",AD29="Leve"),AND(AB29="Muy Alta",AD29="Menor"),AND(AB29="Muy Alta",AD29="Moderado"),AND(AB29="Muy Alta",AD29="Mayor")),"Alto",IF(OR(AND(AB29="Muy Baja",AD29="Catastrófico"),AND(AB29="Baja",AD29="Catastrófico"),AND(AB29="Media",AD29="Catastrófico"),AND(AB29="Alta",AD29="Catastrófico"),AND(AB29="Muy Alta",AD29="Catastrófico")),"Extremo","")))),"")</f>
        <v/>
      </c>
      <c r="AG29" s="131"/>
      <c r="AH29" s="132"/>
      <c r="AI29" s="133"/>
      <c r="AJ29" s="134"/>
      <c r="AK29" s="134"/>
      <c r="AL29" s="132"/>
      <c r="AM29" s="133"/>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85" ht="68.45" customHeight="1" x14ac:dyDescent="0.3">
      <c r="A30" s="264"/>
      <c r="B30" s="218"/>
      <c r="C30" s="218"/>
      <c r="D30" s="218"/>
      <c r="E30" s="138"/>
      <c r="F30" s="218"/>
      <c r="G30" s="267"/>
      <c r="H30" s="267"/>
      <c r="I30" s="218"/>
      <c r="J30" s="224"/>
      <c r="K30" s="227"/>
      <c r="L30" s="230"/>
      <c r="M30" s="233"/>
      <c r="N30" s="230">
        <f>IF(NOT(ISERROR(MATCH(M30,_xlfn.ANCHORARRAY(H41),0))),L43&amp;"Por favor no seleccionar los criterios de impacto",M30)</f>
        <v>0</v>
      </c>
      <c r="O30" s="227"/>
      <c r="P30" s="230"/>
      <c r="Q30" s="221"/>
      <c r="R30" s="122">
        <v>2</v>
      </c>
      <c r="S30" s="123"/>
      <c r="T30" s="124" t="str">
        <f t="shared" si="0"/>
        <v/>
      </c>
      <c r="U30" s="125"/>
      <c r="V30" s="125"/>
      <c r="W30" s="126" t="str">
        <f t="shared" ref="W30:W34" si="20">IF(AND(U30="Preventivo",V30="Automático"),"50%",IF(AND(U30="Preventivo",V30="Manual"),"40%",IF(AND(U30="Detectivo",V30="Automático"),"40%",IF(AND(U30="Detectivo",V30="Manual"),"30%",IF(AND(U30="Correctivo",V30="Automático"),"35%",IF(AND(U30="Correctivo",V30="Manual"),"25%",""))))))</f>
        <v/>
      </c>
      <c r="X30" s="125"/>
      <c r="Y30" s="125"/>
      <c r="Z30" s="125"/>
      <c r="AA30" s="127" t="str">
        <f>IFERROR(IF(AND(T29="Probabilidad",T30="Probabilidad"),(AC29-(+AC29*W30)),IF(T30="Probabilidad",(L29-(+L29*W30)),IF(T30="Impacto",AC29,""))),"")</f>
        <v/>
      </c>
      <c r="AB30" s="128" t="str">
        <f t="shared" si="2"/>
        <v/>
      </c>
      <c r="AC30" s="129" t="str">
        <f t="shared" ref="AC30:AC34" si="21">+AA30</f>
        <v/>
      </c>
      <c r="AD30" s="128" t="str">
        <f t="shared" si="4"/>
        <v/>
      </c>
      <c r="AE30" s="129" t="str">
        <f>IFERROR(IF(AND(T29="Impacto",T30="Impacto"),(AE29-(+AE29*W30)),IF(T30="Impacto",(P29-(+P29*W30)),IF(T30="Probabilidad",AE29,""))),"")</f>
        <v/>
      </c>
      <c r="AF30" s="130" t="str">
        <f t="shared" ref="AF30:AF31" si="22">IFERROR(IF(OR(AND(AB30="Muy Baja",AD30="Leve"),AND(AB30="Muy Baja",AD30="Menor"),AND(AB30="Baja",AD30="Leve")),"Bajo",IF(OR(AND(AB30="Muy baja",AD30="Moderado"),AND(AB30="Baja",AD30="Menor"),AND(AB30="Baja",AD30="Moderado"),AND(AB30="Media",AD30="Leve"),AND(AB30="Media",AD30="Menor"),AND(AB30="Media",AD30="Moderado"),AND(AB30="Alta",AD30="Leve"),AND(AB30="Alta",AD30="Menor")),"Moderado",IF(OR(AND(AB30="Muy Baja",AD30="Mayor"),AND(AB30="Baja",AD30="Mayor"),AND(AB30="Media",AD30="Mayor"),AND(AB30="Alta",AD30="Moderado"),AND(AB30="Alta",AD30="Mayor"),AND(AB30="Muy Alta",AD30="Leve"),AND(AB30="Muy Alta",AD30="Menor"),AND(AB30="Muy Alta",AD30="Moderado"),AND(AB30="Muy Alta",AD30="Mayor")),"Alto",IF(OR(AND(AB30="Muy Baja",AD30="Catastrófico"),AND(AB30="Baja",AD30="Catastrófico"),AND(AB30="Media",AD30="Catastrófico"),AND(AB30="Alta",AD30="Catastrófico"),AND(AB30="Muy Alta",AD30="Catastrófico")),"Extremo","")))),"")</f>
        <v/>
      </c>
      <c r="AG30" s="131"/>
      <c r="AH30" s="132"/>
      <c r="AI30" s="133"/>
      <c r="AJ30" s="134"/>
      <c r="AK30" s="134"/>
      <c r="AL30" s="132"/>
      <c r="AM30" s="133"/>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row>
    <row r="31" spans="1:85" ht="68.45" customHeight="1" x14ac:dyDescent="0.3">
      <c r="A31" s="264"/>
      <c r="B31" s="218"/>
      <c r="C31" s="218"/>
      <c r="D31" s="218"/>
      <c r="E31" s="138"/>
      <c r="F31" s="218"/>
      <c r="G31" s="267"/>
      <c r="H31" s="267"/>
      <c r="I31" s="218"/>
      <c r="J31" s="224"/>
      <c r="K31" s="227"/>
      <c r="L31" s="230"/>
      <c r="M31" s="233"/>
      <c r="N31" s="230">
        <f>IF(NOT(ISERROR(MATCH(M31,_xlfn.ANCHORARRAY(H42),0))),L44&amp;"Por favor no seleccionar los criterios de impacto",M31)</f>
        <v>0</v>
      </c>
      <c r="O31" s="227"/>
      <c r="P31" s="230"/>
      <c r="Q31" s="221"/>
      <c r="R31" s="122">
        <v>3</v>
      </c>
      <c r="S31" s="135"/>
      <c r="T31" s="124" t="str">
        <f t="shared" si="0"/>
        <v/>
      </c>
      <c r="U31" s="125"/>
      <c r="V31" s="125"/>
      <c r="W31" s="126" t="str">
        <f t="shared" si="20"/>
        <v/>
      </c>
      <c r="X31" s="125"/>
      <c r="Y31" s="125"/>
      <c r="Z31" s="125"/>
      <c r="AA31" s="127" t="str">
        <f>IFERROR(IF(AND(T30="Probabilidad",T31="Probabilidad"),(AC30-(+AC30*W31)),IF(AND(T30="Impacto",T31="Probabilidad"),(AC29-(+AC29*W31)),IF(T31="Impacto",AC30,""))),"")</f>
        <v/>
      </c>
      <c r="AB31" s="128" t="str">
        <f t="shared" si="2"/>
        <v/>
      </c>
      <c r="AC31" s="129" t="str">
        <f t="shared" si="21"/>
        <v/>
      </c>
      <c r="AD31" s="128" t="str">
        <f t="shared" si="4"/>
        <v/>
      </c>
      <c r="AE31" s="129" t="str">
        <f>IFERROR(IF(AND(T30="Impacto",T31="Impacto"),(AE30-(+AE30*W31)),IF(AND(T30="Probabilidad",T31="Impacto"),(AE29-(+AE29*W31)),IF(T31="Probabilidad",AE30,""))),"")</f>
        <v/>
      </c>
      <c r="AF31" s="130" t="str">
        <f t="shared" si="22"/>
        <v/>
      </c>
      <c r="AG31" s="131"/>
      <c r="AH31" s="132"/>
      <c r="AI31" s="133"/>
      <c r="AJ31" s="134"/>
      <c r="AK31" s="134"/>
      <c r="AL31" s="132"/>
      <c r="AM31" s="133"/>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85" ht="68.45" customHeight="1" x14ac:dyDescent="0.3">
      <c r="A32" s="264"/>
      <c r="B32" s="218"/>
      <c r="C32" s="218"/>
      <c r="D32" s="218"/>
      <c r="E32" s="138"/>
      <c r="F32" s="218"/>
      <c r="G32" s="267"/>
      <c r="H32" s="267"/>
      <c r="I32" s="218"/>
      <c r="J32" s="224"/>
      <c r="K32" s="227"/>
      <c r="L32" s="230"/>
      <c r="M32" s="233"/>
      <c r="N32" s="230">
        <f>IF(NOT(ISERROR(MATCH(M32,_xlfn.ANCHORARRAY(H43),0))),L45&amp;"Por favor no seleccionar los criterios de impacto",M32)</f>
        <v>0</v>
      </c>
      <c r="O32" s="227"/>
      <c r="P32" s="230"/>
      <c r="Q32" s="221"/>
      <c r="R32" s="122">
        <v>4</v>
      </c>
      <c r="S32" s="123"/>
      <c r="T32" s="124" t="str">
        <f t="shared" si="0"/>
        <v/>
      </c>
      <c r="U32" s="125"/>
      <c r="V32" s="125"/>
      <c r="W32" s="126" t="str">
        <f t="shared" si="20"/>
        <v/>
      </c>
      <c r="X32" s="125"/>
      <c r="Y32" s="125"/>
      <c r="Z32" s="125"/>
      <c r="AA32" s="127" t="str">
        <f t="shared" ref="AA32:AA34" si="23">IFERROR(IF(AND(T31="Probabilidad",T32="Probabilidad"),(AC31-(+AC31*W32)),IF(AND(T31="Impacto",T32="Probabilidad"),(AC30-(+AC30*W32)),IF(T32="Impacto",AC31,""))),"")</f>
        <v/>
      </c>
      <c r="AB32" s="128" t="str">
        <f t="shared" si="2"/>
        <v/>
      </c>
      <c r="AC32" s="129" t="str">
        <f t="shared" si="21"/>
        <v/>
      </c>
      <c r="AD32" s="128" t="str">
        <f t="shared" si="4"/>
        <v/>
      </c>
      <c r="AE32" s="129" t="str">
        <f t="shared" ref="AE32:AE34" si="24">IFERROR(IF(AND(T31="Impacto",T32="Impacto"),(AE31-(+AE31*W32)),IF(AND(T31="Probabilidad",T32="Impacto"),(AE30-(+AE30*W32)),IF(T32="Probabilidad",AE31,""))),"")</f>
        <v/>
      </c>
      <c r="AF32" s="130" t="str">
        <f>IFERROR(IF(OR(AND(AB32="Muy Baja",AD32="Leve"),AND(AB32="Muy Baja",AD32="Menor"),AND(AB32="Baja",AD32="Leve")),"Bajo",IF(OR(AND(AB32="Muy baja",AD32="Moderado"),AND(AB32="Baja",AD32="Menor"),AND(AB32="Baja",AD32="Moderado"),AND(AB32="Media",AD32="Leve"),AND(AB32="Media",AD32="Menor"),AND(AB32="Media",AD32="Moderado"),AND(AB32="Alta",AD32="Leve"),AND(AB32="Alta",AD32="Menor")),"Moderado",IF(OR(AND(AB32="Muy Baja",AD32="Mayor"),AND(AB32="Baja",AD32="Mayor"),AND(AB32="Media",AD32="Mayor"),AND(AB32="Alta",AD32="Moderado"),AND(AB32="Alta",AD32="Mayor"),AND(AB32="Muy Alta",AD32="Leve"),AND(AB32="Muy Alta",AD32="Menor"),AND(AB32="Muy Alta",AD32="Moderado"),AND(AB32="Muy Alta",AD32="Mayor")),"Alto",IF(OR(AND(AB32="Muy Baja",AD32="Catastrófico"),AND(AB32="Baja",AD32="Catastrófico"),AND(AB32="Media",AD32="Catastrófico"),AND(AB32="Alta",AD32="Catastrófico"),AND(AB32="Muy Alta",AD32="Catastrófico")),"Extremo","")))),"")</f>
        <v/>
      </c>
      <c r="AG32" s="131"/>
      <c r="AH32" s="132"/>
      <c r="AI32" s="133"/>
      <c r="AJ32" s="134"/>
      <c r="AK32" s="134"/>
      <c r="AL32" s="132"/>
      <c r="AM32" s="133"/>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row>
    <row r="33" spans="1:71" ht="68.45" customHeight="1" x14ac:dyDescent="0.3">
      <c r="A33" s="264"/>
      <c r="B33" s="218"/>
      <c r="C33" s="218"/>
      <c r="D33" s="218"/>
      <c r="E33" s="138"/>
      <c r="F33" s="218"/>
      <c r="G33" s="267"/>
      <c r="H33" s="267"/>
      <c r="I33" s="218"/>
      <c r="J33" s="224"/>
      <c r="K33" s="227"/>
      <c r="L33" s="230"/>
      <c r="M33" s="233"/>
      <c r="N33" s="230">
        <f>IF(NOT(ISERROR(MATCH(M33,_xlfn.ANCHORARRAY(H44),0))),L46&amp;"Por favor no seleccionar los criterios de impacto",M33)</f>
        <v>0</v>
      </c>
      <c r="O33" s="227"/>
      <c r="P33" s="230"/>
      <c r="Q33" s="221"/>
      <c r="R33" s="122">
        <v>5</v>
      </c>
      <c r="S33" s="123"/>
      <c r="T33" s="124" t="str">
        <f t="shared" si="0"/>
        <v/>
      </c>
      <c r="U33" s="125"/>
      <c r="V33" s="125"/>
      <c r="W33" s="126" t="str">
        <f t="shared" si="20"/>
        <v/>
      </c>
      <c r="X33" s="125"/>
      <c r="Y33" s="125"/>
      <c r="Z33" s="125"/>
      <c r="AA33" s="136" t="str">
        <f t="shared" si="23"/>
        <v/>
      </c>
      <c r="AB33" s="128" t="str">
        <f>IFERROR(IF(AA33="","",IF(AA33&lt;=0.2,"Muy Baja",IF(AA33&lt;=0.4,"Baja",IF(AA33&lt;=0.6,"Media",IF(AA33&lt;=0.8,"Alta","Muy Alta"))))),"")</f>
        <v/>
      </c>
      <c r="AC33" s="129" t="str">
        <f t="shared" si="21"/>
        <v/>
      </c>
      <c r="AD33" s="128" t="str">
        <f t="shared" si="4"/>
        <v/>
      </c>
      <c r="AE33" s="129" t="str">
        <f t="shared" si="24"/>
        <v/>
      </c>
      <c r="AF33" s="130" t="str">
        <f t="shared" ref="AF33:AF34" si="25">IFERROR(IF(OR(AND(AB33="Muy Baja",AD33="Leve"),AND(AB33="Muy Baja",AD33="Menor"),AND(AB33="Baja",AD33="Leve")),"Bajo",IF(OR(AND(AB33="Muy baja",AD33="Moderado"),AND(AB33="Baja",AD33="Menor"),AND(AB33="Baja",AD33="Moderado"),AND(AB33="Media",AD33="Leve"),AND(AB33="Media",AD33="Menor"),AND(AB33="Media",AD33="Moderado"),AND(AB33="Alta",AD33="Leve"),AND(AB33="Alta",AD33="Menor")),"Moderado",IF(OR(AND(AB33="Muy Baja",AD33="Mayor"),AND(AB33="Baja",AD33="Mayor"),AND(AB33="Media",AD33="Mayor"),AND(AB33="Alta",AD33="Moderado"),AND(AB33="Alta",AD33="Mayor"),AND(AB33="Muy Alta",AD33="Leve"),AND(AB33="Muy Alta",AD33="Menor"),AND(AB33="Muy Alta",AD33="Moderado"),AND(AB33="Muy Alta",AD33="Mayor")),"Alto",IF(OR(AND(AB33="Muy Baja",AD33="Catastrófico"),AND(AB33="Baja",AD33="Catastrófico"),AND(AB33="Media",AD33="Catastrófico"),AND(AB33="Alta",AD33="Catastrófico"),AND(AB33="Muy Alta",AD33="Catastrófico")),"Extremo","")))),"")</f>
        <v/>
      </c>
      <c r="AG33" s="131"/>
      <c r="AH33" s="132"/>
      <c r="AI33" s="133"/>
      <c r="AJ33" s="134"/>
      <c r="AK33" s="134"/>
      <c r="AL33" s="132"/>
      <c r="AM33" s="133"/>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row>
    <row r="34" spans="1:71" ht="68.45" customHeight="1" x14ac:dyDescent="0.3">
      <c r="A34" s="265"/>
      <c r="B34" s="219"/>
      <c r="C34" s="219"/>
      <c r="D34" s="219"/>
      <c r="E34" s="139"/>
      <c r="F34" s="219"/>
      <c r="G34" s="268"/>
      <c r="H34" s="268"/>
      <c r="I34" s="219"/>
      <c r="J34" s="225"/>
      <c r="K34" s="228"/>
      <c r="L34" s="231"/>
      <c r="M34" s="234"/>
      <c r="N34" s="231">
        <f>IF(NOT(ISERROR(MATCH(M34,_xlfn.ANCHORARRAY(H45),0))),L47&amp;"Por favor no seleccionar los criterios de impacto",M34)</f>
        <v>0</v>
      </c>
      <c r="O34" s="228"/>
      <c r="P34" s="231"/>
      <c r="Q34" s="222"/>
      <c r="R34" s="122">
        <v>6</v>
      </c>
      <c r="S34" s="123"/>
      <c r="T34" s="124" t="str">
        <f t="shared" si="0"/>
        <v/>
      </c>
      <c r="U34" s="125"/>
      <c r="V34" s="125"/>
      <c r="W34" s="126" t="str">
        <f t="shared" si="20"/>
        <v/>
      </c>
      <c r="X34" s="125"/>
      <c r="Y34" s="125"/>
      <c r="Z34" s="125"/>
      <c r="AA34" s="127" t="str">
        <f t="shared" si="23"/>
        <v/>
      </c>
      <c r="AB34" s="128" t="str">
        <f t="shared" si="2"/>
        <v/>
      </c>
      <c r="AC34" s="129" t="str">
        <f t="shared" si="21"/>
        <v/>
      </c>
      <c r="AD34" s="128" t="str">
        <f t="shared" si="4"/>
        <v/>
      </c>
      <c r="AE34" s="129" t="str">
        <f t="shared" si="24"/>
        <v/>
      </c>
      <c r="AF34" s="130" t="str">
        <f t="shared" si="25"/>
        <v/>
      </c>
      <c r="AG34" s="131"/>
      <c r="AH34" s="132"/>
      <c r="AI34" s="133"/>
      <c r="AJ34" s="134"/>
      <c r="AK34" s="134"/>
      <c r="AL34" s="132"/>
      <c r="AM34" s="133"/>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row>
    <row r="35" spans="1:71" ht="68.45" customHeight="1" x14ac:dyDescent="0.3">
      <c r="A35" s="263">
        <v>5</v>
      </c>
      <c r="B35" s="217"/>
      <c r="C35" s="217"/>
      <c r="D35" s="217"/>
      <c r="E35" s="137"/>
      <c r="F35" s="217"/>
      <c r="G35" s="266"/>
      <c r="H35" s="266"/>
      <c r="I35" s="217"/>
      <c r="J35" s="223"/>
      <c r="K35" s="226" t="str">
        <f>IF(J35&lt;=0,"",IF(J35&lt;=2,"Muy Baja",IF(J35&lt;=24,"Baja",IF(J35&lt;=500,"Media",IF(J35&lt;=5000,"Alta","Muy Alta")))))</f>
        <v/>
      </c>
      <c r="L35" s="229" t="str">
        <f>IF(K35="","",IF(K35="Muy Baja",0.2,IF(K35="Baja",0.4,IF(K35="Media",0.6,IF(K35="Alta",0.8,IF(K35="Muy Alta",1,))))))</f>
        <v/>
      </c>
      <c r="M35" s="232"/>
      <c r="N35" s="229">
        <f>IF(NOT(ISERROR(MATCH(M35,'Tabla Impacto'!$B$221:$B$223,0))),'Tabla Impacto'!$F$223&amp;"Por favor no seleccionar los criterios de impacto(Afectación Económica o presupuestal y Pérdida Reputacional)",M35)</f>
        <v>0</v>
      </c>
      <c r="O35" s="226" t="str">
        <f>IF(OR(N35='Tabla Impacto'!$C$11,N35='Tabla Impacto'!$D$11),"Leve",IF(OR(N35='Tabla Impacto'!$C$12,N35='Tabla Impacto'!$D$12),"Menor",IF(OR(N35='Tabla Impacto'!$C$13,N35='Tabla Impacto'!$D$13),"Moderado",IF(OR(N35='Tabla Impacto'!$C$14,N35='Tabla Impacto'!$D$14),"Mayor",IF(OR(N35='Tabla Impacto'!$C$15,N35='Tabla Impacto'!$D$15),"Catastrófico","")))))</f>
        <v/>
      </c>
      <c r="P35" s="229" t="str">
        <f>IF(O35="","",IF(O35="Leve",0.2,IF(O35="Menor",0.4,IF(O35="Moderado",0.6,IF(O35="Mayor",0.8,IF(O35="Catastrófico",1,))))))</f>
        <v/>
      </c>
      <c r="Q35" s="220" t="str">
        <f>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
      </c>
      <c r="R35" s="122">
        <v>1</v>
      </c>
      <c r="S35" s="123"/>
      <c r="T35" s="124" t="str">
        <f t="shared" si="0"/>
        <v/>
      </c>
      <c r="U35" s="125"/>
      <c r="V35" s="125"/>
      <c r="W35" s="126" t="str">
        <f>IF(AND(U35="Preventivo",V35="Automático"),"50%",IF(AND(U35="Preventivo",V35="Manual"),"40%",IF(AND(U35="Detectivo",V35="Automático"),"40%",IF(AND(U35="Detectivo",V35="Manual"),"30%",IF(AND(U35="Correctivo",V35="Automático"),"35%",IF(AND(U35="Correctivo",V35="Manual"),"25%",""))))))</f>
        <v/>
      </c>
      <c r="X35" s="125"/>
      <c r="Y35" s="125"/>
      <c r="Z35" s="125"/>
      <c r="AA35" s="127" t="str">
        <f>IFERROR(IF(T35="Probabilidad",(L35-(+L35*W35)),IF(T35="Impacto",L35,"")),"")</f>
        <v/>
      </c>
      <c r="AB35" s="128" t="str">
        <f>IFERROR(IF(AA35="","",IF(AA35&lt;=0.2,"Muy Baja",IF(AA35&lt;=0.4,"Baja",IF(AA35&lt;=0.6,"Media",IF(AA35&lt;=0.8,"Alta","Muy Alta"))))),"")</f>
        <v/>
      </c>
      <c r="AC35" s="129" t="str">
        <f>+AA35</f>
        <v/>
      </c>
      <c r="AD35" s="128" t="str">
        <f>IFERROR(IF(AE35="","",IF(AE35&lt;=0.2,"Leve",IF(AE35&lt;=0.4,"Menor",IF(AE35&lt;=0.6,"Moderado",IF(AE35&lt;=0.8,"Mayor","Catastrófico"))))),"")</f>
        <v/>
      </c>
      <c r="AE35" s="129" t="str">
        <f>IFERROR(IF(T35="Impacto",(P35-(+P35*W35)),IF(T35="Probabilidad",P35,"")),"")</f>
        <v/>
      </c>
      <c r="AF35" s="130" t="str">
        <f>IFERROR(IF(OR(AND(AB35="Muy Baja",AD35="Leve"),AND(AB35="Muy Baja",AD35="Menor"),AND(AB35="Baja",AD35="Leve")),"Bajo",IF(OR(AND(AB35="Muy baja",AD35="Moderado"),AND(AB35="Baja",AD35="Menor"),AND(AB35="Baja",AD35="Moderado"),AND(AB35="Media",AD35="Leve"),AND(AB35="Media",AD35="Menor"),AND(AB35="Media",AD35="Moderado"),AND(AB35="Alta",AD35="Leve"),AND(AB35="Alta",AD35="Menor")),"Moderado",IF(OR(AND(AB35="Muy Baja",AD35="Mayor"),AND(AB35="Baja",AD35="Mayor"),AND(AB35="Media",AD35="Mayor"),AND(AB35="Alta",AD35="Moderado"),AND(AB35="Alta",AD35="Mayor"),AND(AB35="Muy Alta",AD35="Leve"),AND(AB35="Muy Alta",AD35="Menor"),AND(AB35="Muy Alta",AD35="Moderado"),AND(AB35="Muy Alta",AD35="Mayor")),"Alto",IF(OR(AND(AB35="Muy Baja",AD35="Catastrófico"),AND(AB35="Baja",AD35="Catastrófico"),AND(AB35="Media",AD35="Catastrófico"),AND(AB35="Alta",AD35="Catastrófico"),AND(AB35="Muy Alta",AD35="Catastrófico")),"Extremo","")))),"")</f>
        <v/>
      </c>
      <c r="AG35" s="131"/>
      <c r="AH35" s="132"/>
      <c r="AI35" s="133"/>
      <c r="AJ35" s="134"/>
      <c r="AK35" s="134"/>
      <c r="AL35" s="132"/>
      <c r="AM35" s="133"/>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row>
    <row r="36" spans="1:71" ht="68.45" customHeight="1" x14ac:dyDescent="0.3">
      <c r="A36" s="264"/>
      <c r="B36" s="218"/>
      <c r="C36" s="218"/>
      <c r="D36" s="218"/>
      <c r="E36" s="138"/>
      <c r="F36" s="218"/>
      <c r="G36" s="267"/>
      <c r="H36" s="267"/>
      <c r="I36" s="218"/>
      <c r="J36" s="224"/>
      <c r="K36" s="227"/>
      <c r="L36" s="230"/>
      <c r="M36" s="233"/>
      <c r="N36" s="230">
        <f>IF(NOT(ISERROR(MATCH(M36,_xlfn.ANCHORARRAY(H47),0))),L49&amp;"Por favor no seleccionar los criterios de impacto",M36)</f>
        <v>0</v>
      </c>
      <c r="O36" s="227"/>
      <c r="P36" s="230"/>
      <c r="Q36" s="221"/>
      <c r="R36" s="122">
        <v>2</v>
      </c>
      <c r="S36" s="123"/>
      <c r="T36" s="124" t="str">
        <f t="shared" si="0"/>
        <v/>
      </c>
      <c r="U36" s="125"/>
      <c r="V36" s="125"/>
      <c r="W36" s="126" t="str">
        <f t="shared" ref="W36:W40" si="26">IF(AND(U36="Preventivo",V36="Automático"),"50%",IF(AND(U36="Preventivo",V36="Manual"),"40%",IF(AND(U36="Detectivo",V36="Automático"),"40%",IF(AND(U36="Detectivo",V36="Manual"),"30%",IF(AND(U36="Correctivo",V36="Automático"),"35%",IF(AND(U36="Correctivo",V36="Manual"),"25%",""))))))</f>
        <v/>
      </c>
      <c r="X36" s="125"/>
      <c r="Y36" s="125"/>
      <c r="Z36" s="125"/>
      <c r="AA36" s="127" t="str">
        <f>IFERROR(IF(AND(T35="Probabilidad",T36="Probabilidad"),(AC35-(+AC35*W36)),IF(T36="Probabilidad",(L35-(+L35*W36)),IF(T36="Impacto",AC35,""))),"")</f>
        <v/>
      </c>
      <c r="AB36" s="128" t="str">
        <f t="shared" si="2"/>
        <v/>
      </c>
      <c r="AC36" s="129" t="str">
        <f t="shared" ref="AC36:AC40" si="27">+AA36</f>
        <v/>
      </c>
      <c r="AD36" s="128" t="str">
        <f t="shared" si="4"/>
        <v/>
      </c>
      <c r="AE36" s="129" t="str">
        <f>IFERROR(IF(AND(T35="Impacto",T36="Impacto"),(AE35-(+AE35*W36)),IF(T36="Impacto",(P35-(+P35*W36)),IF(T36="Probabilidad",AE35,""))),"")</f>
        <v/>
      </c>
      <c r="AF36" s="130" t="str">
        <f t="shared" ref="AF36:AF37" si="28">IFERROR(IF(OR(AND(AB36="Muy Baja",AD36="Leve"),AND(AB36="Muy Baja",AD36="Menor"),AND(AB36="Baja",AD36="Leve")),"Bajo",IF(OR(AND(AB36="Muy baja",AD36="Moderado"),AND(AB36="Baja",AD36="Menor"),AND(AB36="Baja",AD36="Moderado"),AND(AB36="Media",AD36="Leve"),AND(AB36="Media",AD36="Menor"),AND(AB36="Media",AD36="Moderado"),AND(AB36="Alta",AD36="Leve"),AND(AB36="Alta",AD36="Menor")),"Moderado",IF(OR(AND(AB36="Muy Baja",AD36="Mayor"),AND(AB36="Baja",AD36="Mayor"),AND(AB36="Media",AD36="Mayor"),AND(AB36="Alta",AD36="Moderado"),AND(AB36="Alta",AD36="Mayor"),AND(AB36="Muy Alta",AD36="Leve"),AND(AB36="Muy Alta",AD36="Menor"),AND(AB36="Muy Alta",AD36="Moderado"),AND(AB36="Muy Alta",AD36="Mayor")),"Alto",IF(OR(AND(AB36="Muy Baja",AD36="Catastrófico"),AND(AB36="Baja",AD36="Catastrófico"),AND(AB36="Media",AD36="Catastrófico"),AND(AB36="Alta",AD36="Catastrófico"),AND(AB36="Muy Alta",AD36="Catastrófico")),"Extremo","")))),"")</f>
        <v/>
      </c>
      <c r="AG36" s="131"/>
      <c r="AH36" s="132"/>
      <c r="AI36" s="133"/>
      <c r="AJ36" s="134"/>
      <c r="AK36" s="134"/>
      <c r="AL36" s="132"/>
      <c r="AM36" s="133"/>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row>
    <row r="37" spans="1:71" ht="68.45" customHeight="1" x14ac:dyDescent="0.3">
      <c r="A37" s="264"/>
      <c r="B37" s="218"/>
      <c r="C37" s="218"/>
      <c r="D37" s="218"/>
      <c r="E37" s="138"/>
      <c r="F37" s="218"/>
      <c r="G37" s="267"/>
      <c r="H37" s="267"/>
      <c r="I37" s="218"/>
      <c r="J37" s="224"/>
      <c r="K37" s="227"/>
      <c r="L37" s="230"/>
      <c r="M37" s="233"/>
      <c r="N37" s="230">
        <f>IF(NOT(ISERROR(MATCH(M37,_xlfn.ANCHORARRAY(H48),0))),L50&amp;"Por favor no seleccionar los criterios de impacto",M37)</f>
        <v>0</v>
      </c>
      <c r="O37" s="227"/>
      <c r="P37" s="230"/>
      <c r="Q37" s="221"/>
      <c r="R37" s="122">
        <v>3</v>
      </c>
      <c r="S37" s="135"/>
      <c r="T37" s="124" t="str">
        <f t="shared" si="0"/>
        <v/>
      </c>
      <c r="U37" s="125"/>
      <c r="V37" s="125"/>
      <c r="W37" s="126" t="str">
        <f t="shared" si="26"/>
        <v/>
      </c>
      <c r="X37" s="125"/>
      <c r="Y37" s="125"/>
      <c r="Z37" s="125"/>
      <c r="AA37" s="127" t="str">
        <f>IFERROR(IF(AND(T36="Probabilidad",T37="Probabilidad"),(AC36-(+AC36*W37)),IF(AND(T36="Impacto",T37="Probabilidad"),(AC35-(+AC35*W37)),IF(T37="Impacto",AC36,""))),"")</f>
        <v/>
      </c>
      <c r="AB37" s="128" t="str">
        <f t="shared" si="2"/>
        <v/>
      </c>
      <c r="AC37" s="129" t="str">
        <f t="shared" si="27"/>
        <v/>
      </c>
      <c r="AD37" s="128" t="str">
        <f t="shared" si="4"/>
        <v/>
      </c>
      <c r="AE37" s="129" t="str">
        <f>IFERROR(IF(AND(T36="Impacto",T37="Impacto"),(AE36-(+AE36*W37)),IF(AND(T36="Probabilidad",T37="Impacto"),(AE35-(+AE35*W37)),IF(T37="Probabilidad",AE36,""))),"")</f>
        <v/>
      </c>
      <c r="AF37" s="130" t="str">
        <f t="shared" si="28"/>
        <v/>
      </c>
      <c r="AG37" s="131"/>
      <c r="AH37" s="132"/>
      <c r="AI37" s="133"/>
      <c r="AJ37" s="134"/>
      <c r="AK37" s="134"/>
      <c r="AL37" s="132"/>
      <c r="AM37" s="133"/>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row>
    <row r="38" spans="1:71" ht="68.45" customHeight="1" x14ac:dyDescent="0.3">
      <c r="A38" s="264"/>
      <c r="B38" s="218"/>
      <c r="C38" s="218"/>
      <c r="D38" s="218"/>
      <c r="E38" s="138"/>
      <c r="F38" s="218"/>
      <c r="G38" s="267"/>
      <c r="H38" s="267"/>
      <c r="I38" s="218"/>
      <c r="J38" s="224"/>
      <c r="K38" s="227"/>
      <c r="L38" s="230"/>
      <c r="M38" s="233"/>
      <c r="N38" s="230">
        <f>IF(NOT(ISERROR(MATCH(M38,_xlfn.ANCHORARRAY(H49),0))),L51&amp;"Por favor no seleccionar los criterios de impacto",M38)</f>
        <v>0</v>
      </c>
      <c r="O38" s="227"/>
      <c r="P38" s="230"/>
      <c r="Q38" s="221"/>
      <c r="R38" s="122">
        <v>4</v>
      </c>
      <c r="S38" s="123"/>
      <c r="T38" s="124" t="str">
        <f t="shared" si="0"/>
        <v/>
      </c>
      <c r="U38" s="125"/>
      <c r="V38" s="125"/>
      <c r="W38" s="126" t="str">
        <f t="shared" si="26"/>
        <v/>
      </c>
      <c r="X38" s="125"/>
      <c r="Y38" s="125"/>
      <c r="Z38" s="125"/>
      <c r="AA38" s="127" t="str">
        <f t="shared" ref="AA38:AA40" si="29">IFERROR(IF(AND(T37="Probabilidad",T38="Probabilidad"),(AC37-(+AC37*W38)),IF(AND(T37="Impacto",T38="Probabilidad"),(AC36-(+AC36*W38)),IF(T38="Impacto",AC37,""))),"")</f>
        <v/>
      </c>
      <c r="AB38" s="128" t="str">
        <f t="shared" si="2"/>
        <v/>
      </c>
      <c r="AC38" s="129" t="str">
        <f t="shared" si="27"/>
        <v/>
      </c>
      <c r="AD38" s="128" t="str">
        <f t="shared" si="4"/>
        <v/>
      </c>
      <c r="AE38" s="129" t="str">
        <f t="shared" ref="AE38:AE40" si="30">IFERROR(IF(AND(T37="Impacto",T38="Impacto"),(AE37-(+AE37*W38)),IF(AND(T37="Probabilidad",T38="Impacto"),(AE36-(+AE36*W38)),IF(T38="Probabilidad",AE37,""))),"")</f>
        <v/>
      </c>
      <c r="AF38" s="130" t="str">
        <f>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
      </c>
      <c r="AG38" s="131"/>
      <c r="AH38" s="132"/>
      <c r="AI38" s="133"/>
      <c r="AJ38" s="134"/>
      <c r="AK38" s="134"/>
      <c r="AL38" s="132"/>
      <c r="AM38" s="133"/>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row>
    <row r="39" spans="1:71" ht="68.45" customHeight="1" x14ac:dyDescent="0.3">
      <c r="A39" s="264"/>
      <c r="B39" s="218"/>
      <c r="C39" s="218"/>
      <c r="D39" s="218"/>
      <c r="E39" s="138"/>
      <c r="F39" s="218"/>
      <c r="G39" s="267"/>
      <c r="H39" s="267"/>
      <c r="I39" s="218"/>
      <c r="J39" s="224"/>
      <c r="K39" s="227"/>
      <c r="L39" s="230"/>
      <c r="M39" s="233"/>
      <c r="N39" s="230">
        <f>IF(NOT(ISERROR(MATCH(M39,_xlfn.ANCHORARRAY(H50),0))),L52&amp;"Por favor no seleccionar los criterios de impacto",M39)</f>
        <v>0</v>
      </c>
      <c r="O39" s="227"/>
      <c r="P39" s="230"/>
      <c r="Q39" s="221"/>
      <c r="R39" s="122">
        <v>5</v>
      </c>
      <c r="S39" s="123"/>
      <c r="T39" s="124" t="str">
        <f t="shared" si="0"/>
        <v/>
      </c>
      <c r="U39" s="125"/>
      <c r="V39" s="125"/>
      <c r="W39" s="126" t="str">
        <f t="shared" si="26"/>
        <v/>
      </c>
      <c r="X39" s="125"/>
      <c r="Y39" s="125"/>
      <c r="Z39" s="125"/>
      <c r="AA39" s="127" t="str">
        <f t="shared" si="29"/>
        <v/>
      </c>
      <c r="AB39" s="128" t="str">
        <f t="shared" si="2"/>
        <v/>
      </c>
      <c r="AC39" s="129" t="str">
        <f t="shared" si="27"/>
        <v/>
      </c>
      <c r="AD39" s="128" t="str">
        <f t="shared" si="4"/>
        <v/>
      </c>
      <c r="AE39" s="129" t="str">
        <f t="shared" si="30"/>
        <v/>
      </c>
      <c r="AF39" s="130" t="str">
        <f t="shared" ref="AF39:AF40" si="31">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
      </c>
      <c r="AG39" s="131"/>
      <c r="AH39" s="132"/>
      <c r="AI39" s="133"/>
      <c r="AJ39" s="134"/>
      <c r="AK39" s="134"/>
      <c r="AL39" s="132"/>
      <c r="AM39" s="133"/>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row>
    <row r="40" spans="1:71" ht="68.45" customHeight="1" x14ac:dyDescent="0.3">
      <c r="A40" s="265"/>
      <c r="B40" s="219"/>
      <c r="C40" s="219"/>
      <c r="D40" s="219"/>
      <c r="E40" s="139"/>
      <c r="F40" s="219"/>
      <c r="G40" s="268"/>
      <c r="H40" s="268"/>
      <c r="I40" s="219"/>
      <c r="J40" s="225"/>
      <c r="K40" s="228"/>
      <c r="L40" s="231"/>
      <c r="M40" s="234"/>
      <c r="N40" s="231">
        <f>IF(NOT(ISERROR(MATCH(M40,_xlfn.ANCHORARRAY(H51),0))),L53&amp;"Por favor no seleccionar los criterios de impacto",M40)</f>
        <v>0</v>
      </c>
      <c r="O40" s="228"/>
      <c r="P40" s="231"/>
      <c r="Q40" s="222"/>
      <c r="R40" s="122">
        <v>6</v>
      </c>
      <c r="S40" s="123"/>
      <c r="T40" s="124" t="str">
        <f t="shared" si="0"/>
        <v/>
      </c>
      <c r="U40" s="125"/>
      <c r="V40" s="125"/>
      <c r="W40" s="126" t="str">
        <f t="shared" si="26"/>
        <v/>
      </c>
      <c r="X40" s="125"/>
      <c r="Y40" s="125"/>
      <c r="Z40" s="125"/>
      <c r="AA40" s="127" t="str">
        <f t="shared" si="29"/>
        <v/>
      </c>
      <c r="AB40" s="128" t="str">
        <f t="shared" si="2"/>
        <v/>
      </c>
      <c r="AC40" s="129" t="str">
        <f t="shared" si="27"/>
        <v/>
      </c>
      <c r="AD40" s="128" t="str">
        <f t="shared" si="4"/>
        <v/>
      </c>
      <c r="AE40" s="129" t="str">
        <f t="shared" si="30"/>
        <v/>
      </c>
      <c r="AF40" s="130" t="str">
        <f t="shared" si="31"/>
        <v/>
      </c>
      <c r="AG40" s="131"/>
      <c r="AH40" s="132"/>
      <c r="AI40" s="133"/>
      <c r="AJ40" s="134"/>
      <c r="AK40" s="134"/>
      <c r="AL40" s="132"/>
      <c r="AM40" s="133"/>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row>
    <row r="41" spans="1:71" ht="68.45" customHeight="1" x14ac:dyDescent="0.3">
      <c r="A41" s="263">
        <v>6</v>
      </c>
      <c r="B41" s="217"/>
      <c r="C41" s="217"/>
      <c r="D41" s="217"/>
      <c r="E41" s="137"/>
      <c r="F41" s="217"/>
      <c r="G41" s="266"/>
      <c r="H41" s="266"/>
      <c r="I41" s="217"/>
      <c r="J41" s="223"/>
      <c r="K41" s="226" t="str">
        <f>IF(J41&lt;=0,"",IF(J41&lt;=2,"Muy Baja",IF(J41&lt;=24,"Baja",IF(J41&lt;=500,"Media",IF(J41&lt;=5000,"Alta","Muy Alta")))))</f>
        <v/>
      </c>
      <c r="L41" s="229" t="str">
        <f>IF(K41="","",IF(K41="Muy Baja",0.2,IF(K41="Baja",0.4,IF(K41="Media",0.6,IF(K41="Alta",0.8,IF(K41="Muy Alta",1,))))))</f>
        <v/>
      </c>
      <c r="M41" s="232"/>
      <c r="N41" s="229">
        <f>IF(NOT(ISERROR(MATCH(M41,'Tabla Impacto'!$B$221:$B$223,0))),'Tabla Impacto'!$F$223&amp;"Por favor no seleccionar los criterios de impacto(Afectación Económica o presupuestal y Pérdida Reputacional)",M41)</f>
        <v>0</v>
      </c>
      <c r="O41" s="226" t="str">
        <f>IF(OR(N41='Tabla Impacto'!$C$11,N41='Tabla Impacto'!$D$11),"Leve",IF(OR(N41='Tabla Impacto'!$C$12,N41='Tabla Impacto'!$D$12),"Menor",IF(OR(N41='Tabla Impacto'!$C$13,N41='Tabla Impacto'!$D$13),"Moderado",IF(OR(N41='Tabla Impacto'!$C$14,N41='Tabla Impacto'!$D$14),"Mayor",IF(OR(N41='Tabla Impacto'!$C$15,N41='Tabla Impacto'!$D$15),"Catastrófico","")))))</f>
        <v/>
      </c>
      <c r="P41" s="229" t="str">
        <f>IF(O41="","",IF(O41="Leve",0.2,IF(O41="Menor",0.4,IF(O41="Moderado",0.6,IF(O41="Mayor",0.8,IF(O41="Catastrófico",1,))))))</f>
        <v/>
      </c>
      <c r="Q41" s="220" t="str">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
      </c>
      <c r="R41" s="122">
        <v>1</v>
      </c>
      <c r="S41" s="123"/>
      <c r="T41" s="124" t="str">
        <f t="shared" si="0"/>
        <v/>
      </c>
      <c r="U41" s="125"/>
      <c r="V41" s="125"/>
      <c r="W41" s="126" t="str">
        <f>IF(AND(U41="Preventivo",V41="Automático"),"50%",IF(AND(U41="Preventivo",V41="Manual"),"40%",IF(AND(U41="Detectivo",V41="Automático"),"40%",IF(AND(U41="Detectivo",V41="Manual"),"30%",IF(AND(U41="Correctivo",V41="Automático"),"35%",IF(AND(U41="Correctivo",V41="Manual"),"25%",""))))))</f>
        <v/>
      </c>
      <c r="X41" s="125"/>
      <c r="Y41" s="125"/>
      <c r="Z41" s="125"/>
      <c r="AA41" s="127" t="str">
        <f>IFERROR(IF(T41="Probabilidad",(L41-(+L41*W41)),IF(T41="Impacto",L41,"")),"")</f>
        <v/>
      </c>
      <c r="AB41" s="128" t="str">
        <f>IFERROR(IF(AA41="","",IF(AA41&lt;=0.2,"Muy Baja",IF(AA41&lt;=0.4,"Baja",IF(AA41&lt;=0.6,"Media",IF(AA41&lt;=0.8,"Alta","Muy Alta"))))),"")</f>
        <v/>
      </c>
      <c r="AC41" s="129" t="str">
        <f>+AA41</f>
        <v/>
      </c>
      <c r="AD41" s="128" t="str">
        <f>IFERROR(IF(AE41="","",IF(AE41&lt;=0.2,"Leve",IF(AE41&lt;=0.4,"Menor",IF(AE41&lt;=0.6,"Moderado",IF(AE41&lt;=0.8,"Mayor","Catastrófico"))))),"")</f>
        <v/>
      </c>
      <c r="AE41" s="129" t="str">
        <f>IFERROR(IF(T41="Impacto",(P41-(+P41*W41)),IF(T41="Probabilidad",P41,"")),"")</f>
        <v/>
      </c>
      <c r="AF41" s="130" t="str">
        <f>IFERROR(IF(OR(AND(AB41="Muy Baja",AD41="Leve"),AND(AB41="Muy Baja",AD41="Menor"),AND(AB41="Baja",AD41="Leve")),"Bajo",IF(OR(AND(AB41="Muy baja",AD41="Moderado"),AND(AB41="Baja",AD41="Menor"),AND(AB41="Baja",AD41="Moderado"),AND(AB41="Media",AD41="Leve"),AND(AB41="Media",AD41="Menor"),AND(AB41="Media",AD41="Moderado"),AND(AB41="Alta",AD41="Leve"),AND(AB41="Alta",AD41="Menor")),"Moderado",IF(OR(AND(AB41="Muy Baja",AD41="Mayor"),AND(AB41="Baja",AD41="Mayor"),AND(AB41="Media",AD41="Mayor"),AND(AB41="Alta",AD41="Moderado"),AND(AB41="Alta",AD41="Mayor"),AND(AB41="Muy Alta",AD41="Leve"),AND(AB41="Muy Alta",AD41="Menor"),AND(AB41="Muy Alta",AD41="Moderado"),AND(AB41="Muy Alta",AD41="Mayor")),"Alto",IF(OR(AND(AB41="Muy Baja",AD41="Catastrófico"),AND(AB41="Baja",AD41="Catastrófico"),AND(AB41="Media",AD41="Catastrófico"),AND(AB41="Alta",AD41="Catastrófico"),AND(AB41="Muy Alta",AD41="Catastrófico")),"Extremo","")))),"")</f>
        <v/>
      </c>
      <c r="AG41" s="131"/>
      <c r="AH41" s="132"/>
      <c r="AI41" s="133"/>
      <c r="AJ41" s="134"/>
      <c r="AK41" s="134"/>
      <c r="AL41" s="132"/>
      <c r="AM41" s="133"/>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row>
    <row r="42" spans="1:71" ht="68.45" customHeight="1" x14ac:dyDescent="0.3">
      <c r="A42" s="264"/>
      <c r="B42" s="218"/>
      <c r="C42" s="218"/>
      <c r="D42" s="218"/>
      <c r="E42" s="138"/>
      <c r="F42" s="218"/>
      <c r="G42" s="267"/>
      <c r="H42" s="267"/>
      <c r="I42" s="218"/>
      <c r="J42" s="224"/>
      <c r="K42" s="227"/>
      <c r="L42" s="230"/>
      <c r="M42" s="233"/>
      <c r="N42" s="230">
        <f>IF(NOT(ISERROR(MATCH(M42,_xlfn.ANCHORARRAY(H53),0))),L55&amp;"Por favor no seleccionar los criterios de impacto",M42)</f>
        <v>0</v>
      </c>
      <c r="O42" s="227"/>
      <c r="P42" s="230"/>
      <c r="Q42" s="221"/>
      <c r="R42" s="122">
        <v>2</v>
      </c>
      <c r="S42" s="123"/>
      <c r="T42" s="124" t="str">
        <f t="shared" si="0"/>
        <v/>
      </c>
      <c r="U42" s="125"/>
      <c r="V42" s="125"/>
      <c r="W42" s="126" t="str">
        <f t="shared" ref="W42:W46" si="32">IF(AND(U42="Preventivo",V42="Automático"),"50%",IF(AND(U42="Preventivo",V42="Manual"),"40%",IF(AND(U42="Detectivo",V42="Automático"),"40%",IF(AND(U42="Detectivo",V42="Manual"),"30%",IF(AND(U42="Correctivo",V42="Automático"),"35%",IF(AND(U42="Correctivo",V42="Manual"),"25%",""))))))</f>
        <v/>
      </c>
      <c r="X42" s="125"/>
      <c r="Y42" s="125"/>
      <c r="Z42" s="125"/>
      <c r="AA42" s="127" t="str">
        <f>IFERROR(IF(AND(T41="Probabilidad",T42="Probabilidad"),(AC41-(+AC41*W42)),IF(T42="Probabilidad",(L41-(+L41*W42)),IF(T42="Impacto",AC41,""))),"")</f>
        <v/>
      </c>
      <c r="AB42" s="128" t="str">
        <f t="shared" si="2"/>
        <v/>
      </c>
      <c r="AC42" s="129" t="str">
        <f t="shared" ref="AC42:AC46" si="33">+AA42</f>
        <v/>
      </c>
      <c r="AD42" s="128" t="str">
        <f t="shared" si="4"/>
        <v/>
      </c>
      <c r="AE42" s="129" t="str">
        <f>IFERROR(IF(AND(T41="Impacto",T42="Impacto"),(AE41-(+AE41*W42)),IF(T42="Impacto",(P41-(+P41*W42)),IF(T42="Probabilidad",AE41,""))),"")</f>
        <v/>
      </c>
      <c r="AF42" s="130" t="str">
        <f t="shared" ref="AF42:AF43" si="34">IFERROR(IF(OR(AND(AB42="Muy Baja",AD42="Leve"),AND(AB42="Muy Baja",AD42="Menor"),AND(AB42="Baja",AD42="Leve")),"Bajo",IF(OR(AND(AB42="Muy baja",AD42="Moderado"),AND(AB42="Baja",AD42="Menor"),AND(AB42="Baja",AD42="Moderado"),AND(AB42="Media",AD42="Leve"),AND(AB42="Media",AD42="Menor"),AND(AB42="Media",AD42="Moderado"),AND(AB42="Alta",AD42="Leve"),AND(AB42="Alta",AD42="Menor")),"Moderado",IF(OR(AND(AB42="Muy Baja",AD42="Mayor"),AND(AB42="Baja",AD42="Mayor"),AND(AB42="Media",AD42="Mayor"),AND(AB42="Alta",AD42="Moderado"),AND(AB42="Alta",AD42="Mayor"),AND(AB42="Muy Alta",AD42="Leve"),AND(AB42="Muy Alta",AD42="Menor"),AND(AB42="Muy Alta",AD42="Moderado"),AND(AB42="Muy Alta",AD42="Mayor")),"Alto",IF(OR(AND(AB42="Muy Baja",AD42="Catastrófico"),AND(AB42="Baja",AD42="Catastrófico"),AND(AB42="Media",AD42="Catastrófico"),AND(AB42="Alta",AD42="Catastrófico"),AND(AB42="Muy Alta",AD42="Catastrófico")),"Extremo","")))),"")</f>
        <v/>
      </c>
      <c r="AG42" s="131"/>
      <c r="AH42" s="132"/>
      <c r="AI42" s="133"/>
      <c r="AJ42" s="134"/>
      <c r="AK42" s="134"/>
      <c r="AL42" s="132"/>
      <c r="AM42" s="133"/>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row>
    <row r="43" spans="1:71" ht="68.45" customHeight="1" x14ac:dyDescent="0.3">
      <c r="A43" s="264"/>
      <c r="B43" s="218"/>
      <c r="C43" s="218"/>
      <c r="D43" s="218"/>
      <c r="E43" s="138"/>
      <c r="F43" s="218"/>
      <c r="G43" s="267"/>
      <c r="H43" s="267"/>
      <c r="I43" s="218"/>
      <c r="J43" s="224"/>
      <c r="K43" s="227"/>
      <c r="L43" s="230"/>
      <c r="M43" s="233"/>
      <c r="N43" s="230">
        <f>IF(NOT(ISERROR(MATCH(M43,_xlfn.ANCHORARRAY(H54),0))),L56&amp;"Por favor no seleccionar los criterios de impacto",M43)</f>
        <v>0</v>
      </c>
      <c r="O43" s="227"/>
      <c r="P43" s="230"/>
      <c r="Q43" s="221"/>
      <c r="R43" s="122">
        <v>3</v>
      </c>
      <c r="S43" s="135"/>
      <c r="T43" s="124" t="str">
        <f t="shared" si="0"/>
        <v/>
      </c>
      <c r="U43" s="125"/>
      <c r="V43" s="125"/>
      <c r="W43" s="126" t="str">
        <f t="shared" si="32"/>
        <v/>
      </c>
      <c r="X43" s="125"/>
      <c r="Y43" s="125"/>
      <c r="Z43" s="125"/>
      <c r="AA43" s="127" t="str">
        <f>IFERROR(IF(AND(T42="Probabilidad",T43="Probabilidad"),(AC42-(+AC42*W43)),IF(AND(T42="Impacto",T43="Probabilidad"),(AC41-(+AC41*W43)),IF(T43="Impacto",AC42,""))),"")</f>
        <v/>
      </c>
      <c r="AB43" s="128" t="str">
        <f t="shared" si="2"/>
        <v/>
      </c>
      <c r="AC43" s="129" t="str">
        <f t="shared" si="33"/>
        <v/>
      </c>
      <c r="AD43" s="128" t="str">
        <f t="shared" si="4"/>
        <v/>
      </c>
      <c r="AE43" s="129" t="str">
        <f>IFERROR(IF(AND(T42="Impacto",T43="Impacto"),(AE42-(+AE42*W43)),IF(AND(T42="Probabilidad",T43="Impacto"),(AE41-(+AE41*W43)),IF(T43="Probabilidad",AE42,""))),"")</f>
        <v/>
      </c>
      <c r="AF43" s="130" t="str">
        <f t="shared" si="34"/>
        <v/>
      </c>
      <c r="AG43" s="131"/>
      <c r="AH43" s="132"/>
      <c r="AI43" s="133"/>
      <c r="AJ43" s="134"/>
      <c r="AK43" s="134"/>
      <c r="AL43" s="132"/>
      <c r="AM43" s="133"/>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row>
    <row r="44" spans="1:71" ht="68.45" customHeight="1" x14ac:dyDescent="0.3">
      <c r="A44" s="264"/>
      <c r="B44" s="218"/>
      <c r="C44" s="218"/>
      <c r="D44" s="218"/>
      <c r="E44" s="138"/>
      <c r="F44" s="218"/>
      <c r="G44" s="267"/>
      <c r="H44" s="267"/>
      <c r="I44" s="218"/>
      <c r="J44" s="224"/>
      <c r="K44" s="227"/>
      <c r="L44" s="230"/>
      <c r="M44" s="233"/>
      <c r="N44" s="230">
        <f>IF(NOT(ISERROR(MATCH(M44,_xlfn.ANCHORARRAY(H55),0))),L57&amp;"Por favor no seleccionar los criterios de impacto",M44)</f>
        <v>0</v>
      </c>
      <c r="O44" s="227"/>
      <c r="P44" s="230"/>
      <c r="Q44" s="221"/>
      <c r="R44" s="122">
        <v>4</v>
      </c>
      <c r="S44" s="123"/>
      <c r="T44" s="124" t="str">
        <f t="shared" si="0"/>
        <v/>
      </c>
      <c r="U44" s="125"/>
      <c r="V44" s="125"/>
      <c r="W44" s="126" t="str">
        <f t="shared" si="32"/>
        <v/>
      </c>
      <c r="X44" s="125"/>
      <c r="Y44" s="125"/>
      <c r="Z44" s="125"/>
      <c r="AA44" s="127" t="str">
        <f t="shared" ref="AA44:AA46" si="35">IFERROR(IF(AND(T43="Probabilidad",T44="Probabilidad"),(AC43-(+AC43*W44)),IF(AND(T43="Impacto",T44="Probabilidad"),(AC42-(+AC42*W44)),IF(T44="Impacto",AC43,""))),"")</f>
        <v/>
      </c>
      <c r="AB44" s="128" t="str">
        <f t="shared" si="2"/>
        <v/>
      </c>
      <c r="AC44" s="129" t="str">
        <f t="shared" si="33"/>
        <v/>
      </c>
      <c r="AD44" s="128" t="str">
        <f t="shared" si="4"/>
        <v/>
      </c>
      <c r="AE44" s="129" t="str">
        <f t="shared" ref="AE44:AE46" si="36">IFERROR(IF(AND(T43="Impacto",T44="Impacto"),(AE43-(+AE43*W44)),IF(AND(T43="Probabilidad",T44="Impacto"),(AE42-(+AE42*W44)),IF(T44="Probabilidad",AE43,""))),"")</f>
        <v/>
      </c>
      <c r="AF44" s="130" t="str">
        <f>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
      </c>
      <c r="AG44" s="131"/>
      <c r="AH44" s="132"/>
      <c r="AI44" s="133"/>
      <c r="AJ44" s="134"/>
      <c r="AK44" s="134"/>
      <c r="AL44" s="132"/>
      <c r="AM44" s="133"/>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row>
    <row r="45" spans="1:71" ht="68.45" customHeight="1" x14ac:dyDescent="0.3">
      <c r="A45" s="264"/>
      <c r="B45" s="218"/>
      <c r="C45" s="218"/>
      <c r="D45" s="218"/>
      <c r="E45" s="138"/>
      <c r="F45" s="218"/>
      <c r="G45" s="267"/>
      <c r="H45" s="267"/>
      <c r="I45" s="218"/>
      <c r="J45" s="224"/>
      <c r="K45" s="227"/>
      <c r="L45" s="230"/>
      <c r="M45" s="233"/>
      <c r="N45" s="230">
        <f>IF(NOT(ISERROR(MATCH(M45,_xlfn.ANCHORARRAY(H56),0))),L58&amp;"Por favor no seleccionar los criterios de impacto",M45)</f>
        <v>0</v>
      </c>
      <c r="O45" s="227"/>
      <c r="P45" s="230"/>
      <c r="Q45" s="221"/>
      <c r="R45" s="122">
        <v>5</v>
      </c>
      <c r="S45" s="123"/>
      <c r="T45" s="124" t="str">
        <f t="shared" si="0"/>
        <v/>
      </c>
      <c r="U45" s="125"/>
      <c r="V45" s="125"/>
      <c r="W45" s="126" t="str">
        <f t="shared" si="32"/>
        <v/>
      </c>
      <c r="X45" s="125"/>
      <c r="Y45" s="125"/>
      <c r="Z45" s="125"/>
      <c r="AA45" s="127" t="str">
        <f t="shared" si="35"/>
        <v/>
      </c>
      <c r="AB45" s="128" t="str">
        <f t="shared" si="2"/>
        <v/>
      </c>
      <c r="AC45" s="129" t="str">
        <f t="shared" si="33"/>
        <v/>
      </c>
      <c r="AD45" s="128" t="str">
        <f t="shared" si="4"/>
        <v/>
      </c>
      <c r="AE45" s="129" t="str">
        <f t="shared" si="36"/>
        <v/>
      </c>
      <c r="AF45" s="130" t="str">
        <f t="shared" ref="AF45" si="37">IFERROR(IF(OR(AND(AB45="Muy Baja",AD45="Leve"),AND(AB45="Muy Baja",AD45="Menor"),AND(AB45="Baja",AD45="Leve")),"Bajo",IF(OR(AND(AB45="Muy baja",AD45="Moderado"),AND(AB45="Baja",AD45="Menor"),AND(AB45="Baja",AD45="Moderado"),AND(AB45="Media",AD45="Leve"),AND(AB45="Media",AD45="Menor"),AND(AB45="Media",AD45="Moderado"),AND(AB45="Alta",AD45="Leve"),AND(AB45="Alta",AD45="Menor")),"Moderado",IF(OR(AND(AB45="Muy Baja",AD45="Mayor"),AND(AB45="Baja",AD45="Mayor"),AND(AB45="Media",AD45="Mayor"),AND(AB45="Alta",AD45="Moderado"),AND(AB45="Alta",AD45="Mayor"),AND(AB45="Muy Alta",AD45="Leve"),AND(AB45="Muy Alta",AD45="Menor"),AND(AB45="Muy Alta",AD45="Moderado"),AND(AB45="Muy Alta",AD45="Mayor")),"Alto",IF(OR(AND(AB45="Muy Baja",AD45="Catastrófico"),AND(AB45="Baja",AD45="Catastrófico"),AND(AB45="Media",AD45="Catastrófico"),AND(AB45="Alta",AD45="Catastrófico"),AND(AB45="Muy Alta",AD45="Catastrófico")),"Extremo","")))),"")</f>
        <v/>
      </c>
      <c r="AG45" s="131"/>
      <c r="AH45" s="132"/>
      <c r="AI45" s="133"/>
      <c r="AJ45" s="134"/>
      <c r="AK45" s="134"/>
      <c r="AL45" s="132"/>
      <c r="AM45" s="133"/>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row>
    <row r="46" spans="1:71" ht="68.45" customHeight="1" x14ac:dyDescent="0.3">
      <c r="A46" s="265"/>
      <c r="B46" s="219"/>
      <c r="C46" s="219"/>
      <c r="D46" s="219"/>
      <c r="E46" s="139"/>
      <c r="F46" s="219"/>
      <c r="G46" s="268"/>
      <c r="H46" s="268"/>
      <c r="I46" s="219"/>
      <c r="J46" s="225"/>
      <c r="K46" s="228"/>
      <c r="L46" s="231"/>
      <c r="M46" s="234"/>
      <c r="N46" s="231">
        <f>IF(NOT(ISERROR(MATCH(M46,_xlfn.ANCHORARRAY(H57),0))),L59&amp;"Por favor no seleccionar los criterios de impacto",M46)</f>
        <v>0</v>
      </c>
      <c r="O46" s="228"/>
      <c r="P46" s="231"/>
      <c r="Q46" s="222"/>
      <c r="R46" s="122">
        <v>6</v>
      </c>
      <c r="S46" s="123"/>
      <c r="T46" s="124" t="str">
        <f t="shared" si="0"/>
        <v/>
      </c>
      <c r="U46" s="125"/>
      <c r="V46" s="125"/>
      <c r="W46" s="126" t="str">
        <f t="shared" si="32"/>
        <v/>
      </c>
      <c r="X46" s="125"/>
      <c r="Y46" s="125"/>
      <c r="Z46" s="125"/>
      <c r="AA46" s="127" t="str">
        <f t="shared" si="35"/>
        <v/>
      </c>
      <c r="AB46" s="128" t="str">
        <f t="shared" si="2"/>
        <v/>
      </c>
      <c r="AC46" s="129" t="str">
        <f t="shared" si="33"/>
        <v/>
      </c>
      <c r="AD46" s="128" t="str">
        <f>IFERROR(IF(AE46="","",IF(AE46&lt;=0.2,"Leve",IF(AE46&lt;=0.4,"Menor",IF(AE46&lt;=0.6,"Moderado",IF(AE46&lt;=0.8,"Mayor","Catastrófico"))))),"")</f>
        <v/>
      </c>
      <c r="AE46" s="129" t="str">
        <f t="shared" si="36"/>
        <v/>
      </c>
      <c r="AF46" s="130" t="str">
        <f>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
      </c>
      <c r="AG46" s="131"/>
      <c r="AH46" s="132"/>
      <c r="AI46" s="133"/>
      <c r="AJ46" s="134"/>
      <c r="AK46" s="134"/>
      <c r="AL46" s="132"/>
      <c r="AM46" s="133"/>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row>
    <row r="47" spans="1:71" ht="68.45" customHeight="1" x14ac:dyDescent="0.3">
      <c r="A47" s="263">
        <v>7</v>
      </c>
      <c r="B47" s="217"/>
      <c r="C47" s="217"/>
      <c r="D47" s="217"/>
      <c r="E47" s="137"/>
      <c r="F47" s="217"/>
      <c r="G47" s="266"/>
      <c r="H47" s="266"/>
      <c r="I47" s="217"/>
      <c r="J47" s="223"/>
      <c r="K47" s="226" t="str">
        <f>IF(J47&lt;=0,"",IF(J47&lt;=2,"Muy Baja",IF(J47&lt;=24,"Baja",IF(J47&lt;=500,"Media",IF(J47&lt;=5000,"Alta","Muy Alta")))))</f>
        <v/>
      </c>
      <c r="L47" s="229" t="str">
        <f>IF(K47="","",IF(K47="Muy Baja",0.2,IF(K47="Baja",0.4,IF(K47="Media",0.6,IF(K47="Alta",0.8,IF(K47="Muy Alta",1,))))))</f>
        <v/>
      </c>
      <c r="M47" s="232"/>
      <c r="N47" s="229">
        <f>IF(NOT(ISERROR(MATCH(M47,'Tabla Impacto'!$B$221:$B$223,0))),'Tabla Impacto'!$F$223&amp;"Por favor no seleccionar los criterios de impacto(Afectación Económica o presupuestal y Pérdida Reputacional)",M47)</f>
        <v>0</v>
      </c>
      <c r="O47" s="226" t="str">
        <f>IF(OR(N47='Tabla Impacto'!$C$11,N47='Tabla Impacto'!$D$11),"Leve",IF(OR(N47='Tabla Impacto'!$C$12,N47='Tabla Impacto'!$D$12),"Menor",IF(OR(N47='Tabla Impacto'!$C$13,N47='Tabla Impacto'!$D$13),"Moderado",IF(OR(N47='Tabla Impacto'!$C$14,N47='Tabla Impacto'!$D$14),"Mayor",IF(OR(N47='Tabla Impacto'!$C$15,N47='Tabla Impacto'!$D$15),"Catastrófico","")))))</f>
        <v/>
      </c>
      <c r="P47" s="229" t="str">
        <f>IF(O47="","",IF(O47="Leve",0.2,IF(O47="Menor",0.4,IF(O47="Moderado",0.6,IF(O47="Mayor",0.8,IF(O47="Catastrófico",1,))))))</f>
        <v/>
      </c>
      <c r="Q47" s="220" t="str">
        <f>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
      </c>
      <c r="R47" s="122">
        <v>1</v>
      </c>
      <c r="S47" s="123"/>
      <c r="T47" s="124" t="str">
        <f t="shared" si="0"/>
        <v/>
      </c>
      <c r="U47" s="125"/>
      <c r="V47" s="125"/>
      <c r="W47" s="126" t="str">
        <f>IF(AND(U47="Preventivo",V47="Automático"),"50%",IF(AND(U47="Preventivo",V47="Manual"),"40%",IF(AND(U47="Detectivo",V47="Automático"),"40%",IF(AND(U47="Detectivo",V47="Manual"),"30%",IF(AND(U47="Correctivo",V47="Automático"),"35%",IF(AND(U47="Correctivo",V47="Manual"),"25%",""))))))</f>
        <v/>
      </c>
      <c r="X47" s="125"/>
      <c r="Y47" s="125"/>
      <c r="Z47" s="125"/>
      <c r="AA47" s="127" t="str">
        <f>IFERROR(IF(T47="Probabilidad",(L47-(+L47*W47)),IF(T47="Impacto",L47,"")),"")</f>
        <v/>
      </c>
      <c r="AB47" s="128" t="str">
        <f>IFERROR(IF(AA47="","",IF(AA47&lt;=0.2,"Muy Baja",IF(AA47&lt;=0.4,"Baja",IF(AA47&lt;=0.6,"Media",IF(AA47&lt;=0.8,"Alta","Muy Alta"))))),"")</f>
        <v/>
      </c>
      <c r="AC47" s="129" t="str">
        <f>+AA47</f>
        <v/>
      </c>
      <c r="AD47" s="128" t="str">
        <f>IFERROR(IF(AE47="","",IF(AE47&lt;=0.2,"Leve",IF(AE47&lt;=0.4,"Menor",IF(AE47&lt;=0.6,"Moderado",IF(AE47&lt;=0.8,"Mayor","Catastrófico"))))),"")</f>
        <v/>
      </c>
      <c r="AE47" s="129" t="str">
        <f>IFERROR(IF(T47="Impacto",(P47-(+P47*W47)),IF(T47="Probabilidad",P47,"")),"")</f>
        <v/>
      </c>
      <c r="AF47" s="130" t="str">
        <f>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31"/>
      <c r="AH47" s="132"/>
      <c r="AI47" s="133"/>
      <c r="AJ47" s="134"/>
      <c r="AK47" s="134"/>
      <c r="AL47" s="132"/>
      <c r="AM47" s="133"/>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71" ht="68.45" customHeight="1" x14ac:dyDescent="0.3">
      <c r="A48" s="264"/>
      <c r="B48" s="218"/>
      <c r="C48" s="218"/>
      <c r="D48" s="218"/>
      <c r="E48" s="138"/>
      <c r="F48" s="218"/>
      <c r="G48" s="267"/>
      <c r="H48" s="267"/>
      <c r="I48" s="218"/>
      <c r="J48" s="224"/>
      <c r="K48" s="227"/>
      <c r="L48" s="230"/>
      <c r="M48" s="233"/>
      <c r="N48" s="230">
        <f>IF(NOT(ISERROR(MATCH(M48,_xlfn.ANCHORARRAY(H59),0))),L61&amp;"Por favor no seleccionar los criterios de impacto",M48)</f>
        <v>0</v>
      </c>
      <c r="O48" s="227"/>
      <c r="P48" s="230"/>
      <c r="Q48" s="221"/>
      <c r="R48" s="122">
        <v>2</v>
      </c>
      <c r="S48" s="123"/>
      <c r="T48" s="124" t="str">
        <f t="shared" si="0"/>
        <v/>
      </c>
      <c r="U48" s="125"/>
      <c r="V48" s="125"/>
      <c r="W48" s="126" t="str">
        <f t="shared" ref="W48:W52" si="38">IF(AND(U48="Preventivo",V48="Automático"),"50%",IF(AND(U48="Preventivo",V48="Manual"),"40%",IF(AND(U48="Detectivo",V48="Automático"),"40%",IF(AND(U48="Detectivo",V48="Manual"),"30%",IF(AND(U48="Correctivo",V48="Automático"),"35%",IF(AND(U48="Correctivo",V48="Manual"),"25%",""))))))</f>
        <v/>
      </c>
      <c r="X48" s="125"/>
      <c r="Y48" s="125"/>
      <c r="Z48" s="125"/>
      <c r="AA48" s="127" t="str">
        <f>IFERROR(IF(AND(T47="Probabilidad",T48="Probabilidad"),(AC47-(+AC47*W48)),IF(T48="Probabilidad",(L47-(+L47*W48)),IF(T48="Impacto",AC47,""))),"")</f>
        <v/>
      </c>
      <c r="AB48" s="128" t="str">
        <f t="shared" si="2"/>
        <v/>
      </c>
      <c r="AC48" s="129" t="str">
        <f t="shared" ref="AC48:AC52" si="39">+AA48</f>
        <v/>
      </c>
      <c r="AD48" s="128" t="str">
        <f t="shared" si="4"/>
        <v/>
      </c>
      <c r="AE48" s="129" t="str">
        <f>IFERROR(IF(AND(T47="Impacto",T48="Impacto"),(AE47-(+AE47*W48)),IF(T48="Impacto",(P47-(+P47*W48)),IF(T48="Probabilidad",AE47,""))),"")</f>
        <v/>
      </c>
      <c r="AF48" s="130" t="str">
        <f t="shared" ref="AF48:AF49" si="40">IFERROR(IF(OR(AND(AB48="Muy Baja",AD48="Leve"),AND(AB48="Muy Baja",AD48="Menor"),AND(AB48="Baja",AD48="Leve")),"Bajo",IF(OR(AND(AB48="Muy baja",AD48="Moderado"),AND(AB48="Baja",AD48="Menor"),AND(AB48="Baja",AD48="Moderado"),AND(AB48="Media",AD48="Leve"),AND(AB48="Media",AD48="Menor"),AND(AB48="Media",AD48="Moderado"),AND(AB48="Alta",AD48="Leve"),AND(AB48="Alta",AD48="Menor")),"Moderado",IF(OR(AND(AB48="Muy Baja",AD48="Mayor"),AND(AB48="Baja",AD48="Mayor"),AND(AB48="Media",AD48="Mayor"),AND(AB48="Alta",AD48="Moderado"),AND(AB48="Alta",AD48="Mayor"),AND(AB48="Muy Alta",AD48="Leve"),AND(AB48="Muy Alta",AD48="Menor"),AND(AB48="Muy Alta",AD48="Moderado"),AND(AB48="Muy Alta",AD48="Mayor")),"Alto",IF(OR(AND(AB48="Muy Baja",AD48="Catastrófico"),AND(AB48="Baja",AD48="Catastrófico"),AND(AB48="Media",AD48="Catastrófico"),AND(AB48="Alta",AD48="Catastrófico"),AND(AB48="Muy Alta",AD48="Catastrófico")),"Extremo","")))),"")</f>
        <v/>
      </c>
      <c r="AG48" s="131"/>
      <c r="AH48" s="132"/>
      <c r="AI48" s="133"/>
      <c r="AJ48" s="134"/>
      <c r="AK48" s="134"/>
      <c r="AL48" s="132"/>
      <c r="AM48" s="133"/>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row>
    <row r="49" spans="1:71" ht="68.45" customHeight="1" x14ac:dyDescent="0.3">
      <c r="A49" s="264"/>
      <c r="B49" s="218"/>
      <c r="C49" s="218"/>
      <c r="D49" s="218"/>
      <c r="E49" s="138"/>
      <c r="F49" s="218"/>
      <c r="G49" s="267"/>
      <c r="H49" s="267"/>
      <c r="I49" s="218"/>
      <c r="J49" s="224"/>
      <c r="K49" s="227"/>
      <c r="L49" s="230"/>
      <c r="M49" s="233"/>
      <c r="N49" s="230">
        <f>IF(NOT(ISERROR(MATCH(M49,_xlfn.ANCHORARRAY(H60),0))),L62&amp;"Por favor no seleccionar los criterios de impacto",M49)</f>
        <v>0</v>
      </c>
      <c r="O49" s="227"/>
      <c r="P49" s="230"/>
      <c r="Q49" s="221"/>
      <c r="R49" s="122">
        <v>3</v>
      </c>
      <c r="S49" s="135"/>
      <c r="T49" s="124" t="str">
        <f t="shared" si="0"/>
        <v/>
      </c>
      <c r="U49" s="125"/>
      <c r="V49" s="125"/>
      <c r="W49" s="126" t="str">
        <f t="shared" si="38"/>
        <v/>
      </c>
      <c r="X49" s="125"/>
      <c r="Y49" s="125"/>
      <c r="Z49" s="125"/>
      <c r="AA49" s="127" t="str">
        <f>IFERROR(IF(AND(T48="Probabilidad",T49="Probabilidad"),(AC48-(+AC48*W49)),IF(AND(T48="Impacto",T49="Probabilidad"),(AC47-(+AC47*W49)),IF(T49="Impacto",AC48,""))),"")</f>
        <v/>
      </c>
      <c r="AB49" s="128" t="str">
        <f t="shared" si="2"/>
        <v/>
      </c>
      <c r="AC49" s="129" t="str">
        <f t="shared" si="39"/>
        <v/>
      </c>
      <c r="AD49" s="128" t="str">
        <f t="shared" si="4"/>
        <v/>
      </c>
      <c r="AE49" s="129" t="str">
        <f>IFERROR(IF(AND(T48="Impacto",T49="Impacto"),(AE48-(+AE48*W49)),IF(AND(T48="Probabilidad",T49="Impacto"),(AE47-(+AE47*W49)),IF(T49="Probabilidad",AE48,""))),"")</f>
        <v/>
      </c>
      <c r="AF49" s="130" t="str">
        <f t="shared" si="40"/>
        <v/>
      </c>
      <c r="AG49" s="131"/>
      <c r="AH49" s="132"/>
      <c r="AI49" s="133"/>
      <c r="AJ49" s="134"/>
      <c r="AK49" s="134"/>
      <c r="AL49" s="132"/>
      <c r="AM49" s="133"/>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row>
    <row r="50" spans="1:71" ht="68.45" customHeight="1" x14ac:dyDescent="0.3">
      <c r="A50" s="264"/>
      <c r="B50" s="218"/>
      <c r="C50" s="218"/>
      <c r="D50" s="218"/>
      <c r="E50" s="138"/>
      <c r="F50" s="218"/>
      <c r="G50" s="267"/>
      <c r="H50" s="267"/>
      <c r="I50" s="218"/>
      <c r="J50" s="224"/>
      <c r="K50" s="227"/>
      <c r="L50" s="230"/>
      <c r="M50" s="233"/>
      <c r="N50" s="230">
        <f>IF(NOT(ISERROR(MATCH(M50,_xlfn.ANCHORARRAY(H61),0))),L63&amp;"Por favor no seleccionar los criterios de impacto",M50)</f>
        <v>0</v>
      </c>
      <c r="O50" s="227"/>
      <c r="P50" s="230"/>
      <c r="Q50" s="221"/>
      <c r="R50" s="122">
        <v>4</v>
      </c>
      <c r="S50" s="123"/>
      <c r="T50" s="124" t="str">
        <f t="shared" si="0"/>
        <v/>
      </c>
      <c r="U50" s="125"/>
      <c r="V50" s="125"/>
      <c r="W50" s="126" t="str">
        <f t="shared" si="38"/>
        <v/>
      </c>
      <c r="X50" s="125"/>
      <c r="Y50" s="125"/>
      <c r="Z50" s="125"/>
      <c r="AA50" s="127" t="str">
        <f t="shared" ref="AA50:AA52" si="41">IFERROR(IF(AND(T49="Probabilidad",T50="Probabilidad"),(AC49-(+AC49*W50)),IF(AND(T49="Impacto",T50="Probabilidad"),(AC48-(+AC48*W50)),IF(T50="Impacto",AC49,""))),"")</f>
        <v/>
      </c>
      <c r="AB50" s="128" t="str">
        <f t="shared" si="2"/>
        <v/>
      </c>
      <c r="AC50" s="129" t="str">
        <f t="shared" si="39"/>
        <v/>
      </c>
      <c r="AD50" s="128" t="str">
        <f t="shared" si="4"/>
        <v/>
      </c>
      <c r="AE50" s="129" t="str">
        <f t="shared" ref="AE50:AE52" si="42">IFERROR(IF(AND(T49="Impacto",T50="Impacto"),(AE49-(+AE49*W50)),IF(AND(T49="Probabilidad",T50="Impacto"),(AE48-(+AE48*W50)),IF(T50="Probabilidad",AE49,""))),"")</f>
        <v/>
      </c>
      <c r="AF50" s="130" t="str">
        <f>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1"/>
      <c r="AH50" s="132"/>
      <c r="AI50" s="133"/>
      <c r="AJ50" s="134"/>
      <c r="AK50" s="134"/>
      <c r="AL50" s="132"/>
      <c r="AM50" s="133"/>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row>
    <row r="51" spans="1:71" ht="68.45" customHeight="1" x14ac:dyDescent="0.3">
      <c r="A51" s="264"/>
      <c r="B51" s="218"/>
      <c r="C51" s="218"/>
      <c r="D51" s="218"/>
      <c r="E51" s="138"/>
      <c r="F51" s="218"/>
      <c r="G51" s="267"/>
      <c r="H51" s="267"/>
      <c r="I51" s="218"/>
      <c r="J51" s="224"/>
      <c r="K51" s="227"/>
      <c r="L51" s="230"/>
      <c r="M51" s="233"/>
      <c r="N51" s="230">
        <f>IF(NOT(ISERROR(MATCH(M51,_xlfn.ANCHORARRAY(H62),0))),L64&amp;"Por favor no seleccionar los criterios de impacto",M51)</f>
        <v>0</v>
      </c>
      <c r="O51" s="227"/>
      <c r="P51" s="230"/>
      <c r="Q51" s="221"/>
      <c r="R51" s="122">
        <v>5</v>
      </c>
      <c r="S51" s="123"/>
      <c r="T51" s="124" t="str">
        <f t="shared" si="0"/>
        <v/>
      </c>
      <c r="U51" s="125"/>
      <c r="V51" s="125"/>
      <c r="W51" s="126" t="str">
        <f t="shared" si="38"/>
        <v/>
      </c>
      <c r="X51" s="125"/>
      <c r="Y51" s="125"/>
      <c r="Z51" s="125"/>
      <c r="AA51" s="127" t="str">
        <f t="shared" si="41"/>
        <v/>
      </c>
      <c r="AB51" s="128" t="str">
        <f t="shared" si="2"/>
        <v/>
      </c>
      <c r="AC51" s="129" t="str">
        <f t="shared" si="39"/>
        <v/>
      </c>
      <c r="AD51" s="128" t="str">
        <f t="shared" si="4"/>
        <v/>
      </c>
      <c r="AE51" s="129" t="str">
        <f t="shared" si="42"/>
        <v/>
      </c>
      <c r="AF51" s="130" t="str">
        <f t="shared" ref="AF51:AF52" si="43">IFERROR(IF(OR(AND(AB51="Muy Baja",AD51="Leve"),AND(AB51="Muy Baja",AD51="Menor"),AND(AB51="Baja",AD51="Leve")),"Bajo",IF(OR(AND(AB51="Muy baja",AD51="Moderado"),AND(AB51="Baja",AD51="Menor"),AND(AB51="Baja",AD51="Moderado"),AND(AB51="Media",AD51="Leve"),AND(AB51="Media",AD51="Menor"),AND(AB51="Media",AD51="Moderado"),AND(AB51="Alta",AD51="Leve"),AND(AB51="Alta",AD51="Menor")),"Moderado",IF(OR(AND(AB51="Muy Baja",AD51="Mayor"),AND(AB51="Baja",AD51="Mayor"),AND(AB51="Media",AD51="Mayor"),AND(AB51="Alta",AD51="Moderado"),AND(AB51="Alta",AD51="Mayor"),AND(AB51="Muy Alta",AD51="Leve"),AND(AB51="Muy Alta",AD51="Menor"),AND(AB51="Muy Alta",AD51="Moderado"),AND(AB51="Muy Alta",AD51="Mayor")),"Alto",IF(OR(AND(AB51="Muy Baja",AD51="Catastrófico"),AND(AB51="Baja",AD51="Catastrófico"),AND(AB51="Media",AD51="Catastrófico"),AND(AB51="Alta",AD51="Catastrófico"),AND(AB51="Muy Alta",AD51="Catastrófico")),"Extremo","")))),"")</f>
        <v/>
      </c>
      <c r="AG51" s="131"/>
      <c r="AH51" s="132"/>
      <c r="AI51" s="133"/>
      <c r="AJ51" s="134"/>
      <c r="AK51" s="134"/>
      <c r="AL51" s="132"/>
      <c r="AM51" s="133"/>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row>
    <row r="52" spans="1:71" ht="68.45" customHeight="1" x14ac:dyDescent="0.3">
      <c r="A52" s="265"/>
      <c r="B52" s="219"/>
      <c r="C52" s="219"/>
      <c r="D52" s="219"/>
      <c r="E52" s="139"/>
      <c r="F52" s="219"/>
      <c r="G52" s="268"/>
      <c r="H52" s="268"/>
      <c r="I52" s="219"/>
      <c r="J52" s="225"/>
      <c r="K52" s="228"/>
      <c r="L52" s="231"/>
      <c r="M52" s="234"/>
      <c r="N52" s="231">
        <f>IF(NOT(ISERROR(MATCH(M52,_xlfn.ANCHORARRAY(H63),0))),L65&amp;"Por favor no seleccionar los criterios de impacto",M52)</f>
        <v>0</v>
      </c>
      <c r="O52" s="228"/>
      <c r="P52" s="231"/>
      <c r="Q52" s="222"/>
      <c r="R52" s="122">
        <v>6</v>
      </c>
      <c r="S52" s="123"/>
      <c r="T52" s="124" t="str">
        <f t="shared" si="0"/>
        <v/>
      </c>
      <c r="U52" s="125"/>
      <c r="V52" s="125"/>
      <c r="W52" s="126" t="str">
        <f t="shared" si="38"/>
        <v/>
      </c>
      <c r="X52" s="125"/>
      <c r="Y52" s="125"/>
      <c r="Z52" s="125"/>
      <c r="AA52" s="127" t="str">
        <f t="shared" si="41"/>
        <v/>
      </c>
      <c r="AB52" s="128" t="str">
        <f t="shared" si="2"/>
        <v/>
      </c>
      <c r="AC52" s="129" t="str">
        <f t="shared" si="39"/>
        <v/>
      </c>
      <c r="AD52" s="128" t="str">
        <f t="shared" si="4"/>
        <v/>
      </c>
      <c r="AE52" s="129" t="str">
        <f t="shared" si="42"/>
        <v/>
      </c>
      <c r="AF52" s="130" t="str">
        <f t="shared" si="43"/>
        <v/>
      </c>
      <c r="AG52" s="131"/>
      <c r="AH52" s="132"/>
      <c r="AI52" s="133"/>
      <c r="AJ52" s="134"/>
      <c r="AK52" s="134"/>
      <c r="AL52" s="132"/>
      <c r="AM52" s="133"/>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row>
    <row r="53" spans="1:71" ht="68.45" customHeight="1" x14ac:dyDescent="0.3">
      <c r="A53" s="263">
        <v>8</v>
      </c>
      <c r="B53" s="217"/>
      <c r="C53" s="217"/>
      <c r="D53" s="217"/>
      <c r="E53" s="137"/>
      <c r="F53" s="217"/>
      <c r="G53" s="266"/>
      <c r="H53" s="266"/>
      <c r="I53" s="217"/>
      <c r="J53" s="223"/>
      <c r="K53" s="226" t="str">
        <f>IF(J53&lt;=0,"",IF(J53&lt;=2,"Muy Baja",IF(J53&lt;=24,"Baja",IF(J53&lt;=500,"Media",IF(J53&lt;=5000,"Alta","Muy Alta")))))</f>
        <v/>
      </c>
      <c r="L53" s="229" t="str">
        <f>IF(K53="","",IF(K53="Muy Baja",0.2,IF(K53="Baja",0.4,IF(K53="Media",0.6,IF(K53="Alta",0.8,IF(K53="Muy Alta",1,))))))</f>
        <v/>
      </c>
      <c r="M53" s="232"/>
      <c r="N53" s="229">
        <f>IF(NOT(ISERROR(MATCH(M53,'Tabla Impacto'!$B$221:$B$223,0))),'Tabla Impacto'!$F$223&amp;"Por favor no seleccionar los criterios de impacto(Afectación Económica o presupuestal y Pérdida Reputacional)",M53)</f>
        <v>0</v>
      </c>
      <c r="O53" s="226" t="str">
        <f>IF(OR(N53='Tabla Impacto'!$C$11,N53='Tabla Impacto'!$D$11),"Leve",IF(OR(N53='Tabla Impacto'!$C$12,N53='Tabla Impacto'!$D$12),"Menor",IF(OR(N53='Tabla Impacto'!$C$13,N53='Tabla Impacto'!$D$13),"Moderado",IF(OR(N53='Tabla Impacto'!$C$14,N53='Tabla Impacto'!$D$14),"Mayor",IF(OR(N53='Tabla Impacto'!$C$15,N53='Tabla Impacto'!$D$15),"Catastrófico","")))))</f>
        <v/>
      </c>
      <c r="P53" s="229" t="str">
        <f>IF(O53="","",IF(O53="Leve",0.2,IF(O53="Menor",0.4,IF(O53="Moderado",0.6,IF(O53="Mayor",0.8,IF(O53="Catastrófico",1,))))))</f>
        <v/>
      </c>
      <c r="Q53" s="220" t="str">
        <f>IF(OR(AND(K53="Muy Baja",O53="Leve"),AND(K53="Muy Baja",O53="Menor"),AND(K53="Baja",O53="Leve")),"Bajo",IF(OR(AND(K53="Muy baja",O53="Moderado"),AND(K53="Baja",O53="Menor"),AND(K53="Baja",O53="Moderado"),AND(K53="Media",O53="Leve"),AND(K53="Media",O53="Menor"),AND(K53="Media",O53="Moderado"),AND(K53="Alta",O53="Leve"),AND(K53="Alta",O53="Menor")),"Moderado",IF(OR(AND(K53="Muy Baja",O53="Mayor"),AND(K53="Baja",O53="Mayor"),AND(K53="Media",O53="Mayor"),AND(K53="Alta",O53="Moderado"),AND(K53="Alta",O53="Mayor"),AND(K53="Muy Alta",O53="Leve"),AND(K53="Muy Alta",O53="Menor"),AND(K53="Muy Alta",O53="Moderado"),AND(K53="Muy Alta",O53="Mayor")),"Alto",IF(OR(AND(K53="Muy Baja",O53="Catastrófico"),AND(K53="Baja",O53="Catastrófico"),AND(K53="Media",O53="Catastrófico"),AND(K53="Alta",O53="Catastrófico"),AND(K53="Muy Alta",O53="Catastrófico")),"Extremo",""))))</f>
        <v/>
      </c>
      <c r="R53" s="122">
        <v>1</v>
      </c>
      <c r="S53" s="123"/>
      <c r="T53" s="124" t="str">
        <f t="shared" si="0"/>
        <v/>
      </c>
      <c r="U53" s="125"/>
      <c r="V53" s="125"/>
      <c r="W53" s="126" t="str">
        <f>IF(AND(U53="Preventivo",V53="Automático"),"50%",IF(AND(U53="Preventivo",V53="Manual"),"40%",IF(AND(U53="Detectivo",V53="Automático"),"40%",IF(AND(U53="Detectivo",V53="Manual"),"30%",IF(AND(U53="Correctivo",V53="Automático"),"35%",IF(AND(U53="Correctivo",V53="Manual"),"25%",""))))))</f>
        <v/>
      </c>
      <c r="X53" s="125"/>
      <c r="Y53" s="125"/>
      <c r="Z53" s="125"/>
      <c r="AA53" s="127" t="str">
        <f>IFERROR(IF(T53="Probabilidad",(L53-(+L53*W53)),IF(T53="Impacto",L53,"")),"")</f>
        <v/>
      </c>
      <c r="AB53" s="128" t="str">
        <f>IFERROR(IF(AA53="","",IF(AA53&lt;=0.2,"Muy Baja",IF(AA53&lt;=0.4,"Baja",IF(AA53&lt;=0.6,"Media",IF(AA53&lt;=0.8,"Alta","Muy Alta"))))),"")</f>
        <v/>
      </c>
      <c r="AC53" s="129" t="str">
        <f>+AA53</f>
        <v/>
      </c>
      <c r="AD53" s="128" t="str">
        <f>IFERROR(IF(AE53="","",IF(AE53&lt;=0.2,"Leve",IF(AE53&lt;=0.4,"Menor",IF(AE53&lt;=0.6,"Moderado",IF(AE53&lt;=0.8,"Mayor","Catastrófico"))))),"")</f>
        <v/>
      </c>
      <c r="AE53" s="129" t="str">
        <f>IFERROR(IF(T53="Impacto",(P53-(+P53*W53)),IF(T53="Probabilidad",P53,"")),"")</f>
        <v/>
      </c>
      <c r="AF53" s="130" t="str">
        <f>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31"/>
      <c r="AH53" s="132"/>
      <c r="AI53" s="133"/>
      <c r="AJ53" s="134"/>
      <c r="AK53" s="134"/>
      <c r="AL53" s="132"/>
      <c r="AM53" s="133"/>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row>
    <row r="54" spans="1:71" ht="68.45" customHeight="1" x14ac:dyDescent="0.3">
      <c r="A54" s="264"/>
      <c r="B54" s="218"/>
      <c r="C54" s="218"/>
      <c r="D54" s="218"/>
      <c r="E54" s="138"/>
      <c r="F54" s="218"/>
      <c r="G54" s="267"/>
      <c r="H54" s="267"/>
      <c r="I54" s="218"/>
      <c r="J54" s="224"/>
      <c r="K54" s="227"/>
      <c r="L54" s="230"/>
      <c r="M54" s="233"/>
      <c r="N54" s="230">
        <f>IF(NOT(ISERROR(MATCH(M54,_xlfn.ANCHORARRAY(H65),0))),L67&amp;"Por favor no seleccionar los criterios de impacto",M54)</f>
        <v>0</v>
      </c>
      <c r="O54" s="227"/>
      <c r="P54" s="230"/>
      <c r="Q54" s="221"/>
      <c r="R54" s="122">
        <v>2</v>
      </c>
      <c r="S54" s="123"/>
      <c r="T54" s="124" t="str">
        <f t="shared" si="0"/>
        <v/>
      </c>
      <c r="U54" s="125"/>
      <c r="V54" s="125"/>
      <c r="W54" s="126" t="str">
        <f t="shared" ref="W54:W58" si="44">IF(AND(U54="Preventivo",V54="Automático"),"50%",IF(AND(U54="Preventivo",V54="Manual"),"40%",IF(AND(U54="Detectivo",V54="Automático"),"40%",IF(AND(U54="Detectivo",V54="Manual"),"30%",IF(AND(U54="Correctivo",V54="Automático"),"35%",IF(AND(U54="Correctivo",V54="Manual"),"25%",""))))))</f>
        <v/>
      </c>
      <c r="X54" s="125"/>
      <c r="Y54" s="125"/>
      <c r="Z54" s="125"/>
      <c r="AA54" s="127" t="str">
        <f>IFERROR(IF(AND(T53="Probabilidad",T54="Probabilidad"),(AC53-(+AC53*W54)),IF(T54="Probabilidad",(L53-(+L53*W54)),IF(T54="Impacto",AC53,""))),"")</f>
        <v/>
      </c>
      <c r="AB54" s="128" t="str">
        <f t="shared" si="2"/>
        <v/>
      </c>
      <c r="AC54" s="129" t="str">
        <f t="shared" ref="AC54:AC58" si="45">+AA54</f>
        <v/>
      </c>
      <c r="AD54" s="128" t="str">
        <f t="shared" si="4"/>
        <v/>
      </c>
      <c r="AE54" s="129" t="str">
        <f>IFERROR(IF(AND(T53="Impacto",T54="Impacto"),(AE53-(+AE53*W54)),IF(T54="Impacto",(P53-(+P53*W54)),IF(T54="Probabilidad",AE53,""))),"")</f>
        <v/>
      </c>
      <c r="AF54" s="130" t="str">
        <f t="shared" ref="AF54:AF55" si="46">IFERROR(IF(OR(AND(AB54="Muy Baja",AD54="Leve"),AND(AB54="Muy Baja",AD54="Menor"),AND(AB54="Baja",AD54="Leve")),"Bajo",IF(OR(AND(AB54="Muy baja",AD54="Moderado"),AND(AB54="Baja",AD54="Menor"),AND(AB54="Baja",AD54="Moderado"),AND(AB54="Media",AD54="Leve"),AND(AB54="Media",AD54="Menor"),AND(AB54="Media",AD54="Moderado"),AND(AB54="Alta",AD54="Leve"),AND(AB54="Alta",AD54="Menor")),"Moderado",IF(OR(AND(AB54="Muy Baja",AD54="Mayor"),AND(AB54="Baja",AD54="Mayor"),AND(AB54="Media",AD54="Mayor"),AND(AB54="Alta",AD54="Moderado"),AND(AB54="Alta",AD54="Mayor"),AND(AB54="Muy Alta",AD54="Leve"),AND(AB54="Muy Alta",AD54="Menor"),AND(AB54="Muy Alta",AD54="Moderado"),AND(AB54="Muy Alta",AD54="Mayor")),"Alto",IF(OR(AND(AB54="Muy Baja",AD54="Catastrófico"),AND(AB54="Baja",AD54="Catastrófico"),AND(AB54="Media",AD54="Catastrófico"),AND(AB54="Alta",AD54="Catastrófico"),AND(AB54="Muy Alta",AD54="Catastrófico")),"Extremo","")))),"")</f>
        <v/>
      </c>
      <c r="AG54" s="131"/>
      <c r="AH54" s="132"/>
      <c r="AI54" s="133"/>
      <c r="AJ54" s="134"/>
      <c r="AK54" s="134"/>
      <c r="AL54" s="132"/>
      <c r="AM54" s="133"/>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row>
    <row r="55" spans="1:71" ht="68.45" customHeight="1" x14ac:dyDescent="0.3">
      <c r="A55" s="264"/>
      <c r="B55" s="218"/>
      <c r="C55" s="218"/>
      <c r="D55" s="218"/>
      <c r="E55" s="138"/>
      <c r="F55" s="218"/>
      <c r="G55" s="267"/>
      <c r="H55" s="267"/>
      <c r="I55" s="218"/>
      <c r="J55" s="224"/>
      <c r="K55" s="227"/>
      <c r="L55" s="230"/>
      <c r="M55" s="233"/>
      <c r="N55" s="230">
        <f>IF(NOT(ISERROR(MATCH(M55,_xlfn.ANCHORARRAY(H66),0))),L68&amp;"Por favor no seleccionar los criterios de impacto",M55)</f>
        <v>0</v>
      </c>
      <c r="O55" s="227"/>
      <c r="P55" s="230"/>
      <c r="Q55" s="221"/>
      <c r="R55" s="122">
        <v>3</v>
      </c>
      <c r="S55" s="135"/>
      <c r="T55" s="124" t="str">
        <f t="shared" si="0"/>
        <v/>
      </c>
      <c r="U55" s="125"/>
      <c r="V55" s="125"/>
      <c r="W55" s="126" t="str">
        <f t="shared" si="44"/>
        <v/>
      </c>
      <c r="X55" s="125"/>
      <c r="Y55" s="125"/>
      <c r="Z55" s="125"/>
      <c r="AA55" s="127" t="str">
        <f>IFERROR(IF(AND(T54="Probabilidad",T55="Probabilidad"),(AC54-(+AC54*W55)),IF(AND(T54="Impacto",T55="Probabilidad"),(AC53-(+AC53*W55)),IF(T55="Impacto",AC54,""))),"")</f>
        <v/>
      </c>
      <c r="AB55" s="128" t="str">
        <f t="shared" si="2"/>
        <v/>
      </c>
      <c r="AC55" s="129" t="str">
        <f t="shared" si="45"/>
        <v/>
      </c>
      <c r="AD55" s="128" t="str">
        <f t="shared" si="4"/>
        <v/>
      </c>
      <c r="AE55" s="129" t="str">
        <f>IFERROR(IF(AND(T54="Impacto",T55="Impacto"),(AE54-(+AE54*W55)),IF(AND(T54="Probabilidad",T55="Impacto"),(AE53-(+AE53*W55)),IF(T55="Probabilidad",AE54,""))),"")</f>
        <v/>
      </c>
      <c r="AF55" s="130" t="str">
        <f t="shared" si="46"/>
        <v/>
      </c>
      <c r="AG55" s="131"/>
      <c r="AH55" s="132"/>
      <c r="AI55" s="133"/>
      <c r="AJ55" s="134"/>
      <c r="AK55" s="134"/>
      <c r="AL55" s="132"/>
      <c r="AM55" s="133"/>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row>
    <row r="56" spans="1:71" ht="68.45" customHeight="1" x14ac:dyDescent="0.3">
      <c r="A56" s="264"/>
      <c r="B56" s="218"/>
      <c r="C56" s="218"/>
      <c r="D56" s="218"/>
      <c r="E56" s="138"/>
      <c r="F56" s="218"/>
      <c r="G56" s="267"/>
      <c r="H56" s="267"/>
      <c r="I56" s="218"/>
      <c r="J56" s="224"/>
      <c r="K56" s="227"/>
      <c r="L56" s="230"/>
      <c r="M56" s="233"/>
      <c r="N56" s="230">
        <f>IF(NOT(ISERROR(MATCH(M56,_xlfn.ANCHORARRAY(H67),0))),L69&amp;"Por favor no seleccionar los criterios de impacto",M56)</f>
        <v>0</v>
      </c>
      <c r="O56" s="227"/>
      <c r="P56" s="230"/>
      <c r="Q56" s="221"/>
      <c r="R56" s="122">
        <v>4</v>
      </c>
      <c r="S56" s="123"/>
      <c r="T56" s="124" t="str">
        <f t="shared" si="0"/>
        <v/>
      </c>
      <c r="U56" s="125"/>
      <c r="V56" s="125"/>
      <c r="W56" s="126" t="str">
        <f t="shared" si="44"/>
        <v/>
      </c>
      <c r="X56" s="125"/>
      <c r="Y56" s="125"/>
      <c r="Z56" s="125"/>
      <c r="AA56" s="127" t="str">
        <f t="shared" ref="AA56:AA58" si="47">IFERROR(IF(AND(T55="Probabilidad",T56="Probabilidad"),(AC55-(+AC55*W56)),IF(AND(T55="Impacto",T56="Probabilidad"),(AC54-(+AC54*W56)),IF(T56="Impacto",AC55,""))),"")</f>
        <v/>
      </c>
      <c r="AB56" s="128" t="str">
        <f t="shared" si="2"/>
        <v/>
      </c>
      <c r="AC56" s="129" t="str">
        <f t="shared" si="45"/>
        <v/>
      </c>
      <c r="AD56" s="128" t="str">
        <f t="shared" si="4"/>
        <v/>
      </c>
      <c r="AE56" s="129" t="str">
        <f t="shared" ref="AE56:AE58" si="48">IFERROR(IF(AND(T55="Impacto",T56="Impacto"),(AE55-(+AE55*W56)),IF(AND(T55="Probabilidad",T56="Impacto"),(AE54-(+AE54*W56)),IF(T56="Probabilidad",AE55,""))),"")</f>
        <v/>
      </c>
      <c r="AF56" s="130" t="str">
        <f>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31"/>
      <c r="AH56" s="132"/>
      <c r="AI56" s="133"/>
      <c r="AJ56" s="134"/>
      <c r="AK56" s="134"/>
      <c r="AL56" s="132"/>
      <c r="AM56" s="133"/>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row>
    <row r="57" spans="1:71" ht="68.45" customHeight="1" x14ac:dyDescent="0.3">
      <c r="A57" s="264"/>
      <c r="B57" s="218"/>
      <c r="C57" s="218"/>
      <c r="D57" s="218"/>
      <c r="E57" s="138"/>
      <c r="F57" s="218"/>
      <c r="G57" s="267"/>
      <c r="H57" s="267"/>
      <c r="I57" s="218"/>
      <c r="J57" s="224"/>
      <c r="K57" s="227"/>
      <c r="L57" s="230"/>
      <c r="M57" s="233"/>
      <c r="N57" s="230">
        <f>IF(NOT(ISERROR(MATCH(M57,_xlfn.ANCHORARRAY(H68),0))),L70&amp;"Por favor no seleccionar los criterios de impacto",M57)</f>
        <v>0</v>
      </c>
      <c r="O57" s="227"/>
      <c r="P57" s="230"/>
      <c r="Q57" s="221"/>
      <c r="R57" s="122">
        <v>5</v>
      </c>
      <c r="S57" s="123"/>
      <c r="T57" s="124" t="str">
        <f t="shared" si="0"/>
        <v/>
      </c>
      <c r="U57" s="125"/>
      <c r="V57" s="125"/>
      <c r="W57" s="126" t="str">
        <f t="shared" si="44"/>
        <v/>
      </c>
      <c r="X57" s="125"/>
      <c r="Y57" s="125"/>
      <c r="Z57" s="125"/>
      <c r="AA57" s="127" t="str">
        <f t="shared" si="47"/>
        <v/>
      </c>
      <c r="AB57" s="128" t="str">
        <f t="shared" si="2"/>
        <v/>
      </c>
      <c r="AC57" s="129" t="str">
        <f t="shared" si="45"/>
        <v/>
      </c>
      <c r="AD57" s="128" t="str">
        <f t="shared" si="4"/>
        <v/>
      </c>
      <c r="AE57" s="129" t="str">
        <f t="shared" si="48"/>
        <v/>
      </c>
      <c r="AF57" s="130" t="str">
        <f t="shared" ref="AF57:AF58" si="49">IFERROR(IF(OR(AND(AB57="Muy Baja",AD57="Leve"),AND(AB57="Muy Baja",AD57="Menor"),AND(AB57="Baja",AD57="Leve")),"Bajo",IF(OR(AND(AB57="Muy baja",AD57="Moderado"),AND(AB57="Baja",AD57="Menor"),AND(AB57="Baja",AD57="Moderado"),AND(AB57="Media",AD57="Leve"),AND(AB57="Media",AD57="Menor"),AND(AB57="Media",AD57="Moderado"),AND(AB57="Alta",AD57="Leve"),AND(AB57="Alta",AD57="Menor")),"Moderado",IF(OR(AND(AB57="Muy Baja",AD57="Mayor"),AND(AB57="Baja",AD57="Mayor"),AND(AB57="Media",AD57="Mayor"),AND(AB57="Alta",AD57="Moderado"),AND(AB57="Alta",AD57="Mayor"),AND(AB57="Muy Alta",AD57="Leve"),AND(AB57="Muy Alta",AD57="Menor"),AND(AB57="Muy Alta",AD57="Moderado"),AND(AB57="Muy Alta",AD57="Mayor")),"Alto",IF(OR(AND(AB57="Muy Baja",AD57="Catastrófico"),AND(AB57="Baja",AD57="Catastrófico"),AND(AB57="Media",AD57="Catastrófico"),AND(AB57="Alta",AD57="Catastrófico"),AND(AB57="Muy Alta",AD57="Catastrófico")),"Extremo","")))),"")</f>
        <v/>
      </c>
      <c r="AG57" s="131"/>
      <c r="AH57" s="132"/>
      <c r="AI57" s="133"/>
      <c r="AJ57" s="134"/>
      <c r="AK57" s="134"/>
      <c r="AL57" s="132"/>
      <c r="AM57" s="133"/>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row>
    <row r="58" spans="1:71" ht="68.45" customHeight="1" x14ac:dyDescent="0.3">
      <c r="A58" s="265"/>
      <c r="B58" s="219"/>
      <c r="C58" s="219"/>
      <c r="D58" s="219"/>
      <c r="E58" s="139"/>
      <c r="F58" s="219"/>
      <c r="G58" s="268"/>
      <c r="H58" s="268"/>
      <c r="I58" s="219"/>
      <c r="J58" s="225"/>
      <c r="K58" s="228"/>
      <c r="L58" s="231"/>
      <c r="M58" s="234"/>
      <c r="N58" s="231">
        <f>IF(NOT(ISERROR(MATCH(M58,_xlfn.ANCHORARRAY(H69),0))),L71&amp;"Por favor no seleccionar los criterios de impacto",M58)</f>
        <v>0</v>
      </c>
      <c r="O58" s="228"/>
      <c r="P58" s="231"/>
      <c r="Q58" s="222"/>
      <c r="R58" s="122">
        <v>6</v>
      </c>
      <c r="S58" s="123"/>
      <c r="T58" s="124" t="str">
        <f t="shared" si="0"/>
        <v/>
      </c>
      <c r="U58" s="125"/>
      <c r="V58" s="125"/>
      <c r="W58" s="126" t="str">
        <f t="shared" si="44"/>
        <v/>
      </c>
      <c r="X58" s="125"/>
      <c r="Y58" s="125"/>
      <c r="Z58" s="125"/>
      <c r="AA58" s="127" t="str">
        <f t="shared" si="47"/>
        <v/>
      </c>
      <c r="AB58" s="128" t="str">
        <f t="shared" si="2"/>
        <v/>
      </c>
      <c r="AC58" s="129" t="str">
        <f t="shared" si="45"/>
        <v/>
      </c>
      <c r="AD58" s="128" t="str">
        <f t="shared" si="4"/>
        <v/>
      </c>
      <c r="AE58" s="129" t="str">
        <f t="shared" si="48"/>
        <v/>
      </c>
      <c r="AF58" s="130" t="str">
        <f t="shared" si="49"/>
        <v/>
      </c>
      <c r="AG58" s="131"/>
      <c r="AH58" s="132"/>
      <c r="AI58" s="133"/>
      <c r="AJ58" s="134"/>
      <c r="AK58" s="134"/>
      <c r="AL58" s="132"/>
      <c r="AM58" s="133"/>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row>
    <row r="59" spans="1:71" ht="68.45" customHeight="1" x14ac:dyDescent="0.3">
      <c r="A59" s="263">
        <v>9</v>
      </c>
      <c r="B59" s="217"/>
      <c r="C59" s="217"/>
      <c r="D59" s="217"/>
      <c r="E59" s="137"/>
      <c r="F59" s="217"/>
      <c r="G59" s="266"/>
      <c r="H59" s="266"/>
      <c r="I59" s="217"/>
      <c r="J59" s="223"/>
      <c r="K59" s="226" t="str">
        <f>IF(J59&lt;=0,"",IF(J59&lt;=2,"Muy Baja",IF(J59&lt;=24,"Baja",IF(J59&lt;=500,"Media",IF(J59&lt;=5000,"Alta","Muy Alta")))))</f>
        <v/>
      </c>
      <c r="L59" s="229" t="str">
        <f>IF(K59="","",IF(K59="Muy Baja",0.2,IF(K59="Baja",0.4,IF(K59="Media",0.6,IF(K59="Alta",0.8,IF(K59="Muy Alta",1,))))))</f>
        <v/>
      </c>
      <c r="M59" s="232"/>
      <c r="N59" s="229">
        <f>IF(NOT(ISERROR(MATCH(M59,'Tabla Impacto'!$B$221:$B$223,0))),'Tabla Impacto'!$F$223&amp;"Por favor no seleccionar los criterios de impacto(Afectación Económica o presupuestal y Pérdida Reputacional)",M59)</f>
        <v>0</v>
      </c>
      <c r="O59" s="226" t="str">
        <f>IF(OR(N59='Tabla Impacto'!$C$11,N59='Tabla Impacto'!$D$11),"Leve",IF(OR(N59='Tabla Impacto'!$C$12,N59='Tabla Impacto'!$D$12),"Menor",IF(OR(N59='Tabla Impacto'!$C$13,N59='Tabla Impacto'!$D$13),"Moderado",IF(OR(N59='Tabla Impacto'!$C$14,N59='Tabla Impacto'!$D$14),"Mayor",IF(OR(N59='Tabla Impacto'!$C$15,N59='Tabla Impacto'!$D$15),"Catastrófico","")))))</f>
        <v/>
      </c>
      <c r="P59" s="229" t="str">
        <f>IF(O59="","",IF(O59="Leve",0.2,IF(O59="Menor",0.4,IF(O59="Moderado",0.6,IF(O59="Mayor",0.8,IF(O59="Catastrófico",1,))))))</f>
        <v/>
      </c>
      <c r="Q59" s="220" t="str">
        <f>IF(OR(AND(K59="Muy Baja",O59="Leve"),AND(K59="Muy Baja",O59="Menor"),AND(K59="Baja",O59="Leve")),"Bajo",IF(OR(AND(K59="Muy baja",O59="Moderado"),AND(K59="Baja",O59="Menor"),AND(K59="Baja",O59="Moderado"),AND(K59="Media",O59="Leve"),AND(K59="Media",O59="Menor"),AND(K59="Media",O59="Moderado"),AND(K59="Alta",O59="Leve"),AND(K59="Alta",O59="Menor")),"Moderado",IF(OR(AND(K59="Muy Baja",O59="Mayor"),AND(K59="Baja",O59="Mayor"),AND(K59="Media",O59="Mayor"),AND(K59="Alta",O59="Moderado"),AND(K59="Alta",O59="Mayor"),AND(K59="Muy Alta",O59="Leve"),AND(K59="Muy Alta",O59="Menor"),AND(K59="Muy Alta",O59="Moderado"),AND(K59="Muy Alta",O59="Mayor")),"Alto",IF(OR(AND(K59="Muy Baja",O59="Catastrófico"),AND(K59="Baja",O59="Catastrófico"),AND(K59="Media",O59="Catastrófico"),AND(K59="Alta",O59="Catastrófico"),AND(K59="Muy Alta",O59="Catastrófico")),"Extremo",""))))</f>
        <v/>
      </c>
      <c r="R59" s="122">
        <v>1</v>
      </c>
      <c r="S59" s="123"/>
      <c r="T59" s="124" t="str">
        <f t="shared" si="0"/>
        <v/>
      </c>
      <c r="U59" s="125"/>
      <c r="V59" s="125"/>
      <c r="W59" s="126" t="str">
        <f>IF(AND(U59="Preventivo",V59="Automático"),"50%",IF(AND(U59="Preventivo",V59="Manual"),"40%",IF(AND(U59="Detectivo",V59="Automático"),"40%",IF(AND(U59="Detectivo",V59="Manual"),"30%",IF(AND(U59="Correctivo",V59="Automático"),"35%",IF(AND(U59="Correctivo",V59="Manual"),"25%",""))))))</f>
        <v/>
      </c>
      <c r="X59" s="125"/>
      <c r="Y59" s="125"/>
      <c r="Z59" s="125"/>
      <c r="AA59" s="127" t="str">
        <f>IFERROR(IF(T59="Probabilidad",(L59-(+L59*W59)),IF(T59="Impacto",L59,"")),"")</f>
        <v/>
      </c>
      <c r="AB59" s="128" t="str">
        <f>IFERROR(IF(AA59="","",IF(AA59&lt;=0.2,"Muy Baja",IF(AA59&lt;=0.4,"Baja",IF(AA59&lt;=0.6,"Media",IF(AA59&lt;=0.8,"Alta","Muy Alta"))))),"")</f>
        <v/>
      </c>
      <c r="AC59" s="129" t="str">
        <f>+AA59</f>
        <v/>
      </c>
      <c r="AD59" s="128" t="str">
        <f>IFERROR(IF(AE59="","",IF(AE59&lt;=0.2,"Leve",IF(AE59&lt;=0.4,"Menor",IF(AE59&lt;=0.6,"Moderado",IF(AE59&lt;=0.8,"Mayor","Catastrófico"))))),"")</f>
        <v/>
      </c>
      <c r="AE59" s="129" t="str">
        <f>IFERROR(IF(T59="Impacto",(P59-(+P59*W59)),IF(T59="Probabilidad",P59,"")),"")</f>
        <v/>
      </c>
      <c r="AF59" s="130" t="str">
        <f>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1"/>
      <c r="AH59" s="132"/>
      <c r="AI59" s="133"/>
      <c r="AJ59" s="134"/>
      <c r="AK59" s="134"/>
      <c r="AL59" s="132"/>
      <c r="AM59" s="133"/>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row>
    <row r="60" spans="1:71" ht="68.45" customHeight="1" x14ac:dyDescent="0.3">
      <c r="A60" s="264"/>
      <c r="B60" s="218"/>
      <c r="C60" s="218"/>
      <c r="D60" s="218"/>
      <c r="E60" s="138"/>
      <c r="F60" s="218"/>
      <c r="G60" s="267"/>
      <c r="H60" s="267"/>
      <c r="I60" s="218"/>
      <c r="J60" s="224"/>
      <c r="K60" s="227"/>
      <c r="L60" s="230"/>
      <c r="M60" s="233"/>
      <c r="N60" s="230">
        <f>IF(NOT(ISERROR(MATCH(M60,_xlfn.ANCHORARRAY(F71),0))),L73&amp;"Por favor no seleccionar los criterios de impacto",M60)</f>
        <v>0</v>
      </c>
      <c r="O60" s="227"/>
      <c r="P60" s="230"/>
      <c r="Q60" s="221"/>
      <c r="R60" s="122">
        <v>2</v>
      </c>
      <c r="S60" s="123"/>
      <c r="T60" s="124" t="str">
        <f t="shared" si="0"/>
        <v/>
      </c>
      <c r="U60" s="125"/>
      <c r="V60" s="125"/>
      <c r="W60" s="126" t="str">
        <f t="shared" ref="W60:W64" si="50">IF(AND(U60="Preventivo",V60="Automático"),"50%",IF(AND(U60="Preventivo",V60="Manual"),"40%",IF(AND(U60="Detectivo",V60="Automático"),"40%",IF(AND(U60="Detectivo",V60="Manual"),"30%",IF(AND(U60="Correctivo",V60="Automático"),"35%",IF(AND(U60="Correctivo",V60="Manual"),"25%",""))))))</f>
        <v/>
      </c>
      <c r="X60" s="125"/>
      <c r="Y60" s="125"/>
      <c r="Z60" s="125"/>
      <c r="AA60" s="127" t="str">
        <f>IFERROR(IF(AND(T59="Probabilidad",T60="Probabilidad"),(AC59-(+AC59*W60)),IF(T60="Probabilidad",(L59-(+L59*W60)),IF(T60="Impacto",AC59,""))),"")</f>
        <v/>
      </c>
      <c r="AB60" s="128" t="str">
        <f t="shared" si="2"/>
        <v/>
      </c>
      <c r="AC60" s="129" t="str">
        <f t="shared" ref="AC60:AC64" si="51">+AA60</f>
        <v/>
      </c>
      <c r="AD60" s="128" t="str">
        <f t="shared" si="4"/>
        <v/>
      </c>
      <c r="AE60" s="129" t="str">
        <f>IFERROR(IF(AND(T59="Impacto",T60="Impacto"),(AE59-(+AE59*W60)),IF(T60="Impacto",(P59-(+P59*W60)),IF(T60="Probabilidad",AE59,""))),"")</f>
        <v/>
      </c>
      <c r="AF60" s="130" t="str">
        <f t="shared" ref="AF60:AF61" si="52">IFERROR(IF(OR(AND(AB60="Muy Baja",AD60="Leve"),AND(AB60="Muy Baja",AD60="Menor"),AND(AB60="Baja",AD60="Leve")),"Bajo",IF(OR(AND(AB60="Muy baja",AD60="Moderado"),AND(AB60="Baja",AD60="Menor"),AND(AB60="Baja",AD60="Moderado"),AND(AB60="Media",AD60="Leve"),AND(AB60="Media",AD60="Menor"),AND(AB60="Media",AD60="Moderado"),AND(AB60="Alta",AD60="Leve"),AND(AB60="Alta",AD60="Menor")),"Moderado",IF(OR(AND(AB60="Muy Baja",AD60="Mayor"),AND(AB60="Baja",AD60="Mayor"),AND(AB60="Media",AD60="Mayor"),AND(AB60="Alta",AD60="Moderado"),AND(AB60="Alta",AD60="Mayor"),AND(AB60="Muy Alta",AD60="Leve"),AND(AB60="Muy Alta",AD60="Menor"),AND(AB60="Muy Alta",AD60="Moderado"),AND(AB60="Muy Alta",AD60="Mayor")),"Alto",IF(OR(AND(AB60="Muy Baja",AD60="Catastrófico"),AND(AB60="Baja",AD60="Catastrófico"),AND(AB60="Media",AD60="Catastrófico"),AND(AB60="Alta",AD60="Catastrófico"),AND(AB60="Muy Alta",AD60="Catastrófico")),"Extremo","")))),"")</f>
        <v/>
      </c>
      <c r="AG60" s="131"/>
      <c r="AH60" s="132"/>
      <c r="AI60" s="133"/>
      <c r="AJ60" s="134"/>
      <c r="AK60" s="134"/>
      <c r="AL60" s="132"/>
      <c r="AM60" s="133"/>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row>
    <row r="61" spans="1:71" ht="68.45" customHeight="1" x14ac:dyDescent="0.3">
      <c r="A61" s="264"/>
      <c r="B61" s="218"/>
      <c r="C61" s="218"/>
      <c r="D61" s="218"/>
      <c r="E61" s="138"/>
      <c r="F61" s="218"/>
      <c r="G61" s="267"/>
      <c r="H61" s="267"/>
      <c r="I61" s="218"/>
      <c r="J61" s="224"/>
      <c r="K61" s="227"/>
      <c r="L61" s="230"/>
      <c r="M61" s="233"/>
      <c r="N61" s="230">
        <f>IF(NOT(ISERROR(MATCH(M61,_xlfn.ANCHORARRAY(F72),0))),L74&amp;"Por favor no seleccionar los criterios de impacto",M61)</f>
        <v>0</v>
      </c>
      <c r="O61" s="227"/>
      <c r="P61" s="230"/>
      <c r="Q61" s="221"/>
      <c r="R61" s="122">
        <v>3</v>
      </c>
      <c r="S61" s="135"/>
      <c r="T61" s="124" t="str">
        <f t="shared" si="0"/>
        <v/>
      </c>
      <c r="U61" s="125"/>
      <c r="V61" s="125"/>
      <c r="W61" s="126" t="str">
        <f t="shared" si="50"/>
        <v/>
      </c>
      <c r="X61" s="125"/>
      <c r="Y61" s="125"/>
      <c r="Z61" s="125"/>
      <c r="AA61" s="127" t="str">
        <f>IFERROR(IF(AND(T60="Probabilidad",T61="Probabilidad"),(AC60-(+AC60*W61)),IF(AND(T60="Impacto",T61="Probabilidad"),(AC59-(+AC59*W61)),IF(T61="Impacto",AC60,""))),"")</f>
        <v/>
      </c>
      <c r="AB61" s="128" t="str">
        <f t="shared" si="2"/>
        <v/>
      </c>
      <c r="AC61" s="129" t="str">
        <f t="shared" si="51"/>
        <v/>
      </c>
      <c r="AD61" s="128" t="str">
        <f t="shared" si="4"/>
        <v/>
      </c>
      <c r="AE61" s="129" t="str">
        <f>IFERROR(IF(AND(T60="Impacto",T61="Impacto"),(AE60-(+AE60*W61)),IF(AND(T60="Probabilidad",T61="Impacto"),(AE59-(+AE59*W61)),IF(T61="Probabilidad",AE60,""))),"")</f>
        <v/>
      </c>
      <c r="AF61" s="130" t="str">
        <f t="shared" si="52"/>
        <v/>
      </c>
      <c r="AG61" s="131"/>
      <c r="AH61" s="132"/>
      <c r="AI61" s="133"/>
      <c r="AJ61" s="134"/>
      <c r="AK61" s="134"/>
      <c r="AL61" s="132"/>
      <c r="AM61" s="133"/>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row>
    <row r="62" spans="1:71" ht="68.45" customHeight="1" x14ac:dyDescent="0.3">
      <c r="A62" s="264"/>
      <c r="B62" s="218"/>
      <c r="C62" s="218"/>
      <c r="D62" s="218"/>
      <c r="E62" s="138"/>
      <c r="F62" s="218"/>
      <c r="G62" s="267"/>
      <c r="H62" s="267"/>
      <c r="I62" s="218"/>
      <c r="J62" s="224"/>
      <c r="K62" s="227"/>
      <c r="L62" s="230"/>
      <c r="M62" s="233"/>
      <c r="N62" s="230">
        <f>IF(NOT(ISERROR(MATCH(M62,_xlfn.ANCHORARRAY(F73),0))),L75&amp;"Por favor no seleccionar los criterios de impacto",M62)</f>
        <v>0</v>
      </c>
      <c r="O62" s="227"/>
      <c r="P62" s="230"/>
      <c r="Q62" s="221"/>
      <c r="R62" s="122">
        <v>4</v>
      </c>
      <c r="S62" s="123"/>
      <c r="T62" s="124" t="str">
        <f t="shared" si="0"/>
        <v/>
      </c>
      <c r="U62" s="125"/>
      <c r="V62" s="125"/>
      <c r="W62" s="126" t="str">
        <f t="shared" si="50"/>
        <v/>
      </c>
      <c r="X62" s="125"/>
      <c r="Y62" s="125"/>
      <c r="Z62" s="125"/>
      <c r="AA62" s="127" t="str">
        <f t="shared" ref="AA62:AA64" si="53">IFERROR(IF(AND(T61="Probabilidad",T62="Probabilidad"),(AC61-(+AC61*W62)),IF(AND(T61="Impacto",T62="Probabilidad"),(AC60-(+AC60*W62)),IF(T62="Impacto",AC61,""))),"")</f>
        <v/>
      </c>
      <c r="AB62" s="128" t="str">
        <f t="shared" si="2"/>
        <v/>
      </c>
      <c r="AC62" s="129" t="str">
        <f t="shared" si="51"/>
        <v/>
      </c>
      <c r="AD62" s="128" t="str">
        <f t="shared" si="4"/>
        <v/>
      </c>
      <c r="AE62" s="129" t="str">
        <f t="shared" ref="AE62:AE64" si="54">IFERROR(IF(AND(T61="Impacto",T62="Impacto"),(AE61-(+AE61*W62)),IF(AND(T61="Probabilidad",T62="Impacto"),(AE60-(+AE60*W62)),IF(T62="Probabilidad",AE61,""))),"")</f>
        <v/>
      </c>
      <c r="AF62" s="130" t="str">
        <f>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1"/>
      <c r="AH62" s="132"/>
      <c r="AI62" s="133"/>
      <c r="AJ62" s="134"/>
      <c r="AK62" s="134"/>
      <c r="AL62" s="132"/>
      <c r="AM62" s="133"/>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row>
    <row r="63" spans="1:71" ht="68.45" customHeight="1" x14ac:dyDescent="0.3">
      <c r="A63" s="264"/>
      <c r="B63" s="218"/>
      <c r="C63" s="218"/>
      <c r="D63" s="218"/>
      <c r="E63" s="138"/>
      <c r="F63" s="218"/>
      <c r="G63" s="267"/>
      <c r="H63" s="267"/>
      <c r="I63" s="218"/>
      <c r="J63" s="224"/>
      <c r="K63" s="227"/>
      <c r="L63" s="230"/>
      <c r="M63" s="233"/>
      <c r="N63" s="230">
        <f>IF(NOT(ISERROR(MATCH(M63,_xlfn.ANCHORARRAY(F74),0))),L76&amp;"Por favor no seleccionar los criterios de impacto",M63)</f>
        <v>0</v>
      </c>
      <c r="O63" s="227"/>
      <c r="P63" s="230"/>
      <c r="Q63" s="221"/>
      <c r="R63" s="122">
        <v>5</v>
      </c>
      <c r="S63" s="123"/>
      <c r="T63" s="124" t="str">
        <f t="shared" si="0"/>
        <v/>
      </c>
      <c r="U63" s="125"/>
      <c r="V63" s="125"/>
      <c r="W63" s="126" t="str">
        <f t="shared" si="50"/>
        <v/>
      </c>
      <c r="X63" s="125"/>
      <c r="Y63" s="125"/>
      <c r="Z63" s="125"/>
      <c r="AA63" s="127" t="str">
        <f t="shared" si="53"/>
        <v/>
      </c>
      <c r="AB63" s="128" t="str">
        <f t="shared" si="2"/>
        <v/>
      </c>
      <c r="AC63" s="129" t="str">
        <f t="shared" si="51"/>
        <v/>
      </c>
      <c r="AD63" s="128" t="str">
        <f t="shared" si="4"/>
        <v/>
      </c>
      <c r="AE63" s="129" t="str">
        <f t="shared" si="54"/>
        <v/>
      </c>
      <c r="AF63" s="130" t="str">
        <f t="shared" ref="AF63:AF64" si="55">IFERROR(IF(OR(AND(AB63="Muy Baja",AD63="Leve"),AND(AB63="Muy Baja",AD63="Menor"),AND(AB63="Baja",AD63="Leve")),"Bajo",IF(OR(AND(AB63="Muy baja",AD63="Moderado"),AND(AB63="Baja",AD63="Menor"),AND(AB63="Baja",AD63="Moderado"),AND(AB63="Media",AD63="Leve"),AND(AB63="Media",AD63="Menor"),AND(AB63="Media",AD63="Moderado"),AND(AB63="Alta",AD63="Leve"),AND(AB63="Alta",AD63="Menor")),"Moderado",IF(OR(AND(AB63="Muy Baja",AD63="Mayor"),AND(AB63="Baja",AD63="Mayor"),AND(AB63="Media",AD63="Mayor"),AND(AB63="Alta",AD63="Moderado"),AND(AB63="Alta",AD63="Mayor"),AND(AB63="Muy Alta",AD63="Leve"),AND(AB63="Muy Alta",AD63="Menor"),AND(AB63="Muy Alta",AD63="Moderado"),AND(AB63="Muy Alta",AD63="Mayor")),"Alto",IF(OR(AND(AB63="Muy Baja",AD63="Catastrófico"),AND(AB63="Baja",AD63="Catastrófico"),AND(AB63="Media",AD63="Catastrófico"),AND(AB63="Alta",AD63="Catastrófico"),AND(AB63="Muy Alta",AD63="Catastrófico")),"Extremo","")))),"")</f>
        <v/>
      </c>
      <c r="AG63" s="131"/>
      <c r="AH63" s="132"/>
      <c r="AI63" s="133"/>
      <c r="AJ63" s="134"/>
      <c r="AK63" s="134"/>
      <c r="AL63" s="132"/>
      <c r="AM63" s="133"/>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row>
    <row r="64" spans="1:71" ht="68.45" customHeight="1" x14ac:dyDescent="0.3">
      <c r="A64" s="265"/>
      <c r="B64" s="219"/>
      <c r="C64" s="219"/>
      <c r="D64" s="219"/>
      <c r="E64" s="139"/>
      <c r="F64" s="219"/>
      <c r="G64" s="268"/>
      <c r="H64" s="268"/>
      <c r="I64" s="219"/>
      <c r="J64" s="225"/>
      <c r="K64" s="228"/>
      <c r="L64" s="231"/>
      <c r="M64" s="234"/>
      <c r="N64" s="231">
        <f>IF(NOT(ISERROR(MATCH(M64,_xlfn.ANCHORARRAY(F75),0))),L77&amp;"Por favor no seleccionar los criterios de impacto",M64)</f>
        <v>0</v>
      </c>
      <c r="O64" s="228"/>
      <c r="P64" s="231"/>
      <c r="Q64" s="222"/>
      <c r="R64" s="122">
        <v>6</v>
      </c>
      <c r="S64" s="123"/>
      <c r="T64" s="124" t="str">
        <f t="shared" si="0"/>
        <v/>
      </c>
      <c r="U64" s="125"/>
      <c r="V64" s="125"/>
      <c r="W64" s="126" t="str">
        <f t="shared" si="50"/>
        <v/>
      </c>
      <c r="X64" s="125"/>
      <c r="Y64" s="125"/>
      <c r="Z64" s="125"/>
      <c r="AA64" s="127" t="str">
        <f t="shared" si="53"/>
        <v/>
      </c>
      <c r="AB64" s="128" t="str">
        <f t="shared" si="2"/>
        <v/>
      </c>
      <c r="AC64" s="129" t="str">
        <f t="shared" si="51"/>
        <v/>
      </c>
      <c r="AD64" s="128" t="str">
        <f t="shared" si="4"/>
        <v/>
      </c>
      <c r="AE64" s="129" t="str">
        <f t="shared" si="54"/>
        <v/>
      </c>
      <c r="AF64" s="130" t="str">
        <f t="shared" si="55"/>
        <v/>
      </c>
      <c r="AG64" s="131"/>
      <c r="AH64" s="132"/>
      <c r="AI64" s="133"/>
      <c r="AJ64" s="134"/>
      <c r="AK64" s="134"/>
      <c r="AL64" s="132"/>
      <c r="AM64" s="133"/>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row>
    <row r="65" spans="1:71" ht="68.45" customHeight="1" x14ac:dyDescent="0.3">
      <c r="A65" s="263">
        <v>10</v>
      </c>
      <c r="B65" s="217"/>
      <c r="C65" s="217"/>
      <c r="D65" s="217"/>
      <c r="E65" s="137"/>
      <c r="F65" s="217"/>
      <c r="G65" s="266"/>
      <c r="H65" s="266"/>
      <c r="I65" s="217"/>
      <c r="J65" s="223"/>
      <c r="K65" s="226" t="str">
        <f>IF(J65&lt;=0,"",IF(J65&lt;=2,"Muy Baja",IF(J65&lt;=24,"Baja",IF(J65&lt;=500,"Media",IF(J65&lt;=5000,"Alta","Muy Alta")))))</f>
        <v/>
      </c>
      <c r="L65" s="229" t="str">
        <f>IF(K65="","",IF(K65="Muy Baja",0.2,IF(K65="Baja",0.4,IF(K65="Media",0.6,IF(K65="Alta",0.8,IF(K65="Muy Alta",1,))))))</f>
        <v/>
      </c>
      <c r="M65" s="232"/>
      <c r="N65" s="229">
        <f>IF(NOT(ISERROR(MATCH(M65,'Tabla Impacto'!$B$221:$B$223,0))),'Tabla Impacto'!$F$223&amp;"Por favor no seleccionar los criterios de impacto(Afectación Económica o presupuestal y Pérdida Reputacional)",M65)</f>
        <v>0</v>
      </c>
      <c r="O65" s="226" t="str">
        <f>IF(OR(N65='Tabla Impacto'!$C$11,N65='Tabla Impacto'!$D$11),"Leve",IF(OR(N65='Tabla Impacto'!$C$12,N65='Tabla Impacto'!$D$12),"Menor",IF(OR(N65='Tabla Impacto'!$C$13,N65='Tabla Impacto'!$D$13),"Moderado",IF(OR(N65='Tabla Impacto'!$C$14,N65='Tabla Impacto'!$D$14),"Mayor",IF(OR(N65='Tabla Impacto'!$C$15,N65='Tabla Impacto'!$D$15),"Catastrófico","")))))</f>
        <v/>
      </c>
      <c r="P65" s="229" t="str">
        <f>IF(O65="","",IF(O65="Leve",0.2,IF(O65="Menor",0.4,IF(O65="Moderado",0.6,IF(O65="Mayor",0.8,IF(O65="Catastrófico",1,))))))</f>
        <v/>
      </c>
      <c r="Q65" s="220" t="str">
        <f>IF(OR(AND(K65="Muy Baja",O65="Leve"),AND(K65="Muy Baja",O65="Menor"),AND(K65="Baja",O65="Leve")),"Bajo",IF(OR(AND(K65="Muy baja",O65="Moderado"),AND(K65="Baja",O65="Menor"),AND(K65="Baja",O65="Moderado"),AND(K65="Media",O65="Leve"),AND(K65="Media",O65="Menor"),AND(K65="Media",O65="Moderado"),AND(K65="Alta",O65="Leve"),AND(K65="Alta",O65="Menor")),"Moderado",IF(OR(AND(K65="Muy Baja",O65="Mayor"),AND(K65="Baja",O65="Mayor"),AND(K65="Media",O65="Mayor"),AND(K65="Alta",O65="Moderado"),AND(K65="Alta",O65="Mayor"),AND(K65="Muy Alta",O65="Leve"),AND(K65="Muy Alta",O65="Menor"),AND(K65="Muy Alta",O65="Moderado"),AND(K65="Muy Alta",O65="Mayor")),"Alto",IF(OR(AND(K65="Muy Baja",O65="Catastrófico"),AND(K65="Baja",O65="Catastrófico"),AND(K65="Media",O65="Catastrófico"),AND(K65="Alta",O65="Catastrófico"),AND(K65="Muy Alta",O65="Catastrófico")),"Extremo",""))))</f>
        <v/>
      </c>
      <c r="R65" s="122">
        <v>1</v>
      </c>
      <c r="S65" s="123"/>
      <c r="T65" s="124" t="str">
        <f t="shared" si="0"/>
        <v/>
      </c>
      <c r="U65" s="125"/>
      <c r="V65" s="125"/>
      <c r="W65" s="126" t="str">
        <f>IF(AND(U65="Preventivo",V65="Automático"),"50%",IF(AND(U65="Preventivo",V65="Manual"),"40%",IF(AND(U65="Detectivo",V65="Automático"),"40%",IF(AND(U65="Detectivo",V65="Manual"),"30%",IF(AND(U65="Correctivo",V65="Automático"),"35%",IF(AND(U65="Correctivo",V65="Manual"),"25%",""))))))</f>
        <v/>
      </c>
      <c r="X65" s="125"/>
      <c r="Y65" s="125"/>
      <c r="Z65" s="125"/>
      <c r="AA65" s="127" t="str">
        <f>IFERROR(IF(T65="Probabilidad",(L65-(+L65*W65)),IF(T65="Impacto",L65,"")),"")</f>
        <v/>
      </c>
      <c r="AB65" s="128" t="str">
        <f>IFERROR(IF(AA65="","",IF(AA65&lt;=0.2,"Muy Baja",IF(AA65&lt;=0.4,"Baja",IF(AA65&lt;=0.6,"Media",IF(AA65&lt;=0.8,"Alta","Muy Alta"))))),"")</f>
        <v/>
      </c>
      <c r="AC65" s="129" t="str">
        <f>+AA65</f>
        <v/>
      </c>
      <c r="AD65" s="128" t="str">
        <f>IFERROR(IF(AE65="","",IF(AE65&lt;=0.2,"Leve",IF(AE65&lt;=0.4,"Menor",IF(AE65&lt;=0.6,"Moderado",IF(AE65&lt;=0.8,"Mayor","Catastrófico"))))),"")</f>
        <v/>
      </c>
      <c r="AE65" s="129" t="str">
        <f>IFERROR(IF(T65="Impacto",(P65-(+P65*W65)),IF(T65="Probabilidad",P65,"")),"")</f>
        <v/>
      </c>
      <c r="AF65" s="130" t="str">
        <f>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31"/>
      <c r="AH65" s="132"/>
      <c r="AI65" s="133"/>
      <c r="AJ65" s="134"/>
      <c r="AK65" s="134"/>
      <c r="AL65" s="132"/>
      <c r="AM65" s="133"/>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row>
    <row r="66" spans="1:71" ht="68.45" customHeight="1" x14ac:dyDescent="0.3">
      <c r="A66" s="264"/>
      <c r="B66" s="218"/>
      <c r="C66" s="218"/>
      <c r="D66" s="218"/>
      <c r="E66" s="138"/>
      <c r="F66" s="218"/>
      <c r="G66" s="267"/>
      <c r="H66" s="267"/>
      <c r="I66" s="218"/>
      <c r="J66" s="224"/>
      <c r="K66" s="227"/>
      <c r="L66" s="230"/>
      <c r="M66" s="233"/>
      <c r="N66" s="230">
        <f>IF(NOT(ISERROR(MATCH(M66,_xlfn.ANCHORARRAY(F77),0))),L79&amp;"Por favor no seleccionar los criterios de impacto",M66)</f>
        <v>0</v>
      </c>
      <c r="O66" s="227"/>
      <c r="P66" s="230"/>
      <c r="Q66" s="221"/>
      <c r="R66" s="122">
        <v>2</v>
      </c>
      <c r="S66" s="123"/>
      <c r="T66" s="124" t="str">
        <f t="shared" si="0"/>
        <v/>
      </c>
      <c r="U66" s="125"/>
      <c r="V66" s="125"/>
      <c r="W66" s="126" t="str">
        <f t="shared" ref="W66:W70" si="56">IF(AND(U66="Preventivo",V66="Automático"),"50%",IF(AND(U66="Preventivo",V66="Manual"),"40%",IF(AND(U66="Detectivo",V66="Automático"),"40%",IF(AND(U66="Detectivo",V66="Manual"),"30%",IF(AND(U66="Correctivo",V66="Automático"),"35%",IF(AND(U66="Correctivo",V66="Manual"),"25%",""))))))</f>
        <v/>
      </c>
      <c r="X66" s="125"/>
      <c r="Y66" s="125"/>
      <c r="Z66" s="125"/>
      <c r="AA66" s="127" t="str">
        <f>IFERROR(IF(AND(T65="Probabilidad",T66="Probabilidad"),(AC65-(+AC65*W66)),IF(T66="Probabilidad",(L65-(+L65*W66)),IF(T66="Impacto",AC65,""))),"")</f>
        <v/>
      </c>
      <c r="AB66" s="128" t="str">
        <f t="shared" si="2"/>
        <v/>
      </c>
      <c r="AC66" s="129" t="str">
        <f t="shared" ref="AC66:AC70" si="57">+AA66</f>
        <v/>
      </c>
      <c r="AD66" s="128" t="str">
        <f t="shared" si="4"/>
        <v/>
      </c>
      <c r="AE66" s="129" t="str">
        <f>IFERROR(IF(AND(T65="Impacto",T66="Impacto"),(AE65-(+AE65*W66)),IF(T66="Impacto",(P65-(+P65*W66)),IF(T66="Probabilidad",AE65,""))),"")</f>
        <v/>
      </c>
      <c r="AF66" s="130" t="str">
        <f t="shared" ref="AF66:AF67" si="58">IFERROR(IF(OR(AND(AB66="Muy Baja",AD66="Leve"),AND(AB66="Muy Baja",AD66="Menor"),AND(AB66="Baja",AD66="Leve")),"Bajo",IF(OR(AND(AB66="Muy baja",AD66="Moderado"),AND(AB66="Baja",AD66="Menor"),AND(AB66="Baja",AD66="Moderado"),AND(AB66="Media",AD66="Leve"),AND(AB66="Media",AD66="Menor"),AND(AB66="Media",AD66="Moderado"),AND(AB66="Alta",AD66="Leve"),AND(AB66="Alta",AD66="Menor")),"Moderado",IF(OR(AND(AB66="Muy Baja",AD66="Mayor"),AND(AB66="Baja",AD66="Mayor"),AND(AB66="Media",AD66="Mayor"),AND(AB66="Alta",AD66="Moderado"),AND(AB66="Alta",AD66="Mayor"),AND(AB66="Muy Alta",AD66="Leve"),AND(AB66="Muy Alta",AD66="Menor"),AND(AB66="Muy Alta",AD66="Moderado"),AND(AB66="Muy Alta",AD66="Mayor")),"Alto",IF(OR(AND(AB66="Muy Baja",AD66="Catastrófico"),AND(AB66="Baja",AD66="Catastrófico"),AND(AB66="Media",AD66="Catastrófico"),AND(AB66="Alta",AD66="Catastrófico"),AND(AB66="Muy Alta",AD66="Catastrófico")),"Extremo","")))),"")</f>
        <v/>
      </c>
      <c r="AG66" s="131"/>
      <c r="AH66" s="132"/>
      <c r="AI66" s="133"/>
      <c r="AJ66" s="134"/>
      <c r="AK66" s="134"/>
      <c r="AL66" s="132"/>
      <c r="AM66" s="133"/>
    </row>
    <row r="67" spans="1:71" ht="68.45" customHeight="1" x14ac:dyDescent="0.3">
      <c r="A67" s="264"/>
      <c r="B67" s="218"/>
      <c r="C67" s="218"/>
      <c r="D67" s="218"/>
      <c r="E67" s="138"/>
      <c r="F67" s="218"/>
      <c r="G67" s="267"/>
      <c r="H67" s="267"/>
      <c r="I67" s="218"/>
      <c r="J67" s="224"/>
      <c r="K67" s="227"/>
      <c r="L67" s="230"/>
      <c r="M67" s="233"/>
      <c r="N67" s="230">
        <f>IF(NOT(ISERROR(MATCH(M67,_xlfn.ANCHORARRAY(F78),0))),L80&amp;"Por favor no seleccionar los criterios de impacto",M67)</f>
        <v>0</v>
      </c>
      <c r="O67" s="227"/>
      <c r="P67" s="230"/>
      <c r="Q67" s="221"/>
      <c r="R67" s="122">
        <v>3</v>
      </c>
      <c r="S67" s="135"/>
      <c r="T67" s="124" t="str">
        <f t="shared" si="0"/>
        <v/>
      </c>
      <c r="U67" s="125"/>
      <c r="V67" s="125"/>
      <c r="W67" s="126" t="str">
        <f t="shared" si="56"/>
        <v/>
      </c>
      <c r="X67" s="125"/>
      <c r="Y67" s="125"/>
      <c r="Z67" s="125"/>
      <c r="AA67" s="127" t="str">
        <f>IFERROR(IF(AND(T66="Probabilidad",T67="Probabilidad"),(AC66-(+AC66*W67)),IF(AND(T66="Impacto",T67="Probabilidad"),(AC65-(+AC65*W67)),IF(T67="Impacto",AC66,""))),"")</f>
        <v/>
      </c>
      <c r="AB67" s="128" t="str">
        <f t="shared" si="2"/>
        <v/>
      </c>
      <c r="AC67" s="129" t="str">
        <f t="shared" si="57"/>
        <v/>
      </c>
      <c r="AD67" s="128" t="str">
        <f t="shared" si="4"/>
        <v/>
      </c>
      <c r="AE67" s="129" t="str">
        <f>IFERROR(IF(AND(T66="Impacto",T67="Impacto"),(AE66-(+AE66*W67)),IF(AND(T66="Probabilidad",T67="Impacto"),(AE65-(+AE65*W67)),IF(T67="Probabilidad",AE66,""))),"")</f>
        <v/>
      </c>
      <c r="AF67" s="130" t="str">
        <f t="shared" si="58"/>
        <v/>
      </c>
      <c r="AG67" s="131"/>
      <c r="AH67" s="132"/>
      <c r="AI67" s="133"/>
      <c r="AJ67" s="134"/>
      <c r="AK67" s="134"/>
      <c r="AL67" s="132"/>
      <c r="AM67" s="133"/>
    </row>
    <row r="68" spans="1:71" ht="68.45" customHeight="1" x14ac:dyDescent="0.3">
      <c r="A68" s="264"/>
      <c r="B68" s="218"/>
      <c r="C68" s="218"/>
      <c r="D68" s="218"/>
      <c r="E68" s="138"/>
      <c r="F68" s="218"/>
      <c r="G68" s="267"/>
      <c r="H68" s="267"/>
      <c r="I68" s="218"/>
      <c r="J68" s="224"/>
      <c r="K68" s="227"/>
      <c r="L68" s="230"/>
      <c r="M68" s="233"/>
      <c r="N68" s="230">
        <f>IF(NOT(ISERROR(MATCH(M68,_xlfn.ANCHORARRAY(F79),0))),L81&amp;"Por favor no seleccionar los criterios de impacto",M68)</f>
        <v>0</v>
      </c>
      <c r="O68" s="227"/>
      <c r="P68" s="230"/>
      <c r="Q68" s="221"/>
      <c r="R68" s="122">
        <v>4</v>
      </c>
      <c r="S68" s="123"/>
      <c r="T68" s="124" t="str">
        <f t="shared" si="0"/>
        <v/>
      </c>
      <c r="U68" s="125"/>
      <c r="V68" s="125"/>
      <c r="W68" s="126" t="str">
        <f t="shared" si="56"/>
        <v/>
      </c>
      <c r="X68" s="125"/>
      <c r="Y68" s="125"/>
      <c r="Z68" s="125"/>
      <c r="AA68" s="127" t="str">
        <f t="shared" ref="AA68:AA70" si="59">IFERROR(IF(AND(T67="Probabilidad",T68="Probabilidad"),(AC67-(+AC67*W68)),IF(AND(T67="Impacto",T68="Probabilidad"),(AC66-(+AC66*W68)),IF(T68="Impacto",AC67,""))),"")</f>
        <v/>
      </c>
      <c r="AB68" s="128" t="str">
        <f t="shared" si="2"/>
        <v/>
      </c>
      <c r="AC68" s="129" t="str">
        <f t="shared" si="57"/>
        <v/>
      </c>
      <c r="AD68" s="128" t="str">
        <f t="shared" si="4"/>
        <v/>
      </c>
      <c r="AE68" s="129" t="str">
        <f t="shared" ref="AE68:AE70" si="60">IFERROR(IF(AND(T67="Impacto",T68="Impacto"),(AE67-(+AE67*W68)),IF(AND(T67="Probabilidad",T68="Impacto"),(AE66-(+AE66*W68)),IF(T68="Probabilidad",AE67,""))),"")</f>
        <v/>
      </c>
      <c r="AF68" s="130" t="str">
        <f>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
      </c>
      <c r="AG68" s="131"/>
      <c r="AH68" s="132"/>
      <c r="AI68" s="133"/>
      <c r="AJ68" s="134"/>
      <c r="AK68" s="134"/>
      <c r="AL68" s="132"/>
      <c r="AM68" s="133"/>
    </row>
    <row r="69" spans="1:71" ht="68.45" customHeight="1" x14ac:dyDescent="0.3">
      <c r="A69" s="264"/>
      <c r="B69" s="218"/>
      <c r="C69" s="218"/>
      <c r="D69" s="218"/>
      <c r="E69" s="138"/>
      <c r="F69" s="218"/>
      <c r="G69" s="267"/>
      <c r="H69" s="267"/>
      <c r="I69" s="218"/>
      <c r="J69" s="224"/>
      <c r="K69" s="227"/>
      <c r="L69" s="230"/>
      <c r="M69" s="233"/>
      <c r="N69" s="230">
        <f>IF(NOT(ISERROR(MATCH(M69,_xlfn.ANCHORARRAY(F80),0))),L82&amp;"Por favor no seleccionar los criterios de impacto",M69)</f>
        <v>0</v>
      </c>
      <c r="O69" s="227"/>
      <c r="P69" s="230"/>
      <c r="Q69" s="221"/>
      <c r="R69" s="122">
        <v>5</v>
      </c>
      <c r="S69" s="123"/>
      <c r="T69" s="124" t="str">
        <f t="shared" si="0"/>
        <v/>
      </c>
      <c r="U69" s="125"/>
      <c r="V69" s="125"/>
      <c r="W69" s="126" t="str">
        <f t="shared" si="56"/>
        <v/>
      </c>
      <c r="X69" s="125"/>
      <c r="Y69" s="125"/>
      <c r="Z69" s="125"/>
      <c r="AA69" s="127" t="str">
        <f t="shared" si="59"/>
        <v/>
      </c>
      <c r="AB69" s="128" t="str">
        <f t="shared" si="2"/>
        <v/>
      </c>
      <c r="AC69" s="129" t="str">
        <f t="shared" si="57"/>
        <v/>
      </c>
      <c r="AD69" s="128" t="str">
        <f t="shared" si="4"/>
        <v/>
      </c>
      <c r="AE69" s="129" t="str">
        <f t="shared" si="60"/>
        <v/>
      </c>
      <c r="AF69" s="130" t="str">
        <f t="shared" ref="AF69:AF70" si="61">IFERROR(IF(OR(AND(AB69="Muy Baja",AD69="Leve"),AND(AB69="Muy Baja",AD69="Menor"),AND(AB69="Baja",AD69="Leve")),"Bajo",IF(OR(AND(AB69="Muy baja",AD69="Moderado"),AND(AB69="Baja",AD69="Menor"),AND(AB69="Baja",AD69="Moderado"),AND(AB69="Media",AD69="Leve"),AND(AB69="Media",AD69="Menor"),AND(AB69="Media",AD69="Moderado"),AND(AB69="Alta",AD69="Leve"),AND(AB69="Alta",AD69="Menor")),"Moderado",IF(OR(AND(AB69="Muy Baja",AD69="Mayor"),AND(AB69="Baja",AD69="Mayor"),AND(AB69="Media",AD69="Mayor"),AND(AB69="Alta",AD69="Moderado"),AND(AB69="Alta",AD69="Mayor"),AND(AB69="Muy Alta",AD69="Leve"),AND(AB69="Muy Alta",AD69="Menor"),AND(AB69="Muy Alta",AD69="Moderado"),AND(AB69="Muy Alta",AD69="Mayor")),"Alto",IF(OR(AND(AB69="Muy Baja",AD69="Catastrófico"),AND(AB69="Baja",AD69="Catastrófico"),AND(AB69="Media",AD69="Catastrófico"),AND(AB69="Alta",AD69="Catastrófico"),AND(AB69="Muy Alta",AD69="Catastrófico")),"Extremo","")))),"")</f>
        <v/>
      </c>
      <c r="AG69" s="131"/>
      <c r="AH69" s="132"/>
      <c r="AI69" s="133"/>
      <c r="AJ69" s="134"/>
      <c r="AK69" s="134"/>
      <c r="AL69" s="132"/>
      <c r="AM69" s="133"/>
    </row>
    <row r="70" spans="1:71" ht="68.45" customHeight="1" x14ac:dyDescent="0.3">
      <c r="A70" s="265"/>
      <c r="B70" s="219"/>
      <c r="C70" s="219"/>
      <c r="D70" s="219"/>
      <c r="E70" s="139"/>
      <c r="F70" s="219"/>
      <c r="G70" s="268"/>
      <c r="H70" s="268"/>
      <c r="I70" s="219"/>
      <c r="J70" s="225"/>
      <c r="K70" s="228"/>
      <c r="L70" s="231"/>
      <c r="M70" s="234"/>
      <c r="N70" s="231">
        <f>IF(NOT(ISERROR(MATCH(M70,_xlfn.ANCHORARRAY(F81),0))),L83&amp;"Por favor no seleccionar los criterios de impacto",M70)</f>
        <v>0</v>
      </c>
      <c r="O70" s="228"/>
      <c r="P70" s="231"/>
      <c r="Q70" s="222"/>
      <c r="R70" s="122">
        <v>6</v>
      </c>
      <c r="S70" s="123"/>
      <c r="T70" s="124" t="str">
        <f t="shared" si="0"/>
        <v/>
      </c>
      <c r="U70" s="125"/>
      <c r="V70" s="125"/>
      <c r="W70" s="126" t="str">
        <f t="shared" si="56"/>
        <v/>
      </c>
      <c r="X70" s="125"/>
      <c r="Y70" s="125"/>
      <c r="Z70" s="125"/>
      <c r="AA70" s="127" t="str">
        <f t="shared" si="59"/>
        <v/>
      </c>
      <c r="AB70" s="128" t="str">
        <f t="shared" si="2"/>
        <v/>
      </c>
      <c r="AC70" s="129" t="str">
        <f t="shared" si="57"/>
        <v/>
      </c>
      <c r="AD70" s="128" t="str">
        <f t="shared" si="4"/>
        <v/>
      </c>
      <c r="AE70" s="129" t="str">
        <f t="shared" si="60"/>
        <v/>
      </c>
      <c r="AF70" s="130" t="str">
        <f t="shared" si="61"/>
        <v/>
      </c>
      <c r="AG70" s="131"/>
      <c r="AH70" s="132"/>
      <c r="AI70" s="133"/>
      <c r="AJ70" s="134"/>
      <c r="AK70" s="134"/>
      <c r="AL70" s="132"/>
      <c r="AM70" s="133"/>
    </row>
    <row r="71" spans="1:71" ht="49.7" customHeight="1" x14ac:dyDescent="0.3">
      <c r="A71" s="6"/>
      <c r="B71" s="269"/>
      <c r="C71" s="269"/>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70"/>
    </row>
    <row r="73" spans="1:71" x14ac:dyDescent="0.3">
      <c r="A73" s="1"/>
      <c r="B73" s="23"/>
      <c r="C73" s="23"/>
      <c r="D73" s="1"/>
      <c r="E73" s="1"/>
      <c r="G73" s="1"/>
      <c r="H73" s="1"/>
      <c r="I73" s="1"/>
    </row>
  </sheetData>
  <dataConsolidate/>
  <mergeCells count="208">
    <mergeCell ref="A7:C7"/>
    <mergeCell ref="N17:N22"/>
    <mergeCell ref="O17:O22"/>
    <mergeCell ref="P17:P22"/>
    <mergeCell ref="Q17:Q22"/>
    <mergeCell ref="D4:Q4"/>
    <mergeCell ref="I11:I16"/>
    <mergeCell ref="J11:J16"/>
    <mergeCell ref="K11:K16"/>
    <mergeCell ref="A11:A16"/>
    <mergeCell ref="B11:B16"/>
    <mergeCell ref="H11:H16"/>
    <mergeCell ref="Q11:Q16"/>
    <mergeCell ref="L11:L16"/>
    <mergeCell ref="M11:M16"/>
    <mergeCell ref="N11:N16"/>
    <mergeCell ref="O11:O16"/>
    <mergeCell ref="P11:P16"/>
    <mergeCell ref="G11:G16"/>
    <mergeCell ref="D11:D16"/>
    <mergeCell ref="D5:Q5"/>
    <mergeCell ref="C11:C16"/>
    <mergeCell ref="A4:C4"/>
    <mergeCell ref="A5:C5"/>
    <mergeCell ref="A6:C6"/>
    <mergeCell ref="AA9:AA10"/>
    <mergeCell ref="S9:S10"/>
    <mergeCell ref="AD9:AD10"/>
    <mergeCell ref="AB9:AB10"/>
    <mergeCell ref="AC9:AC10"/>
    <mergeCell ref="J9:J10"/>
    <mergeCell ref="K9:K10"/>
    <mergeCell ref="L9:L10"/>
    <mergeCell ref="O9:O10"/>
    <mergeCell ref="P9:P10"/>
    <mergeCell ref="Q9:Q10"/>
    <mergeCell ref="M9:M10"/>
    <mergeCell ref="N9:N10"/>
    <mergeCell ref="T9:T10"/>
    <mergeCell ref="U9:Z9"/>
    <mergeCell ref="I17:I22"/>
    <mergeCell ref="J17:J22"/>
    <mergeCell ref="K17:K22"/>
    <mergeCell ref="L17:L22"/>
    <mergeCell ref="M17:M22"/>
    <mergeCell ref="A17:A22"/>
    <mergeCell ref="B17:B22"/>
    <mergeCell ref="H17:H22"/>
    <mergeCell ref="C17:C22"/>
    <mergeCell ref="M35:M40"/>
    <mergeCell ref="C35:C40"/>
    <mergeCell ref="O35:O40"/>
    <mergeCell ref="H23:H28"/>
    <mergeCell ref="I23:I28"/>
    <mergeCell ref="J23:J28"/>
    <mergeCell ref="K23:K28"/>
    <mergeCell ref="L23:L28"/>
    <mergeCell ref="M23:M28"/>
    <mergeCell ref="N23:N28"/>
    <mergeCell ref="O23:O28"/>
    <mergeCell ref="J41:J46"/>
    <mergeCell ref="K41:K46"/>
    <mergeCell ref="L41:L46"/>
    <mergeCell ref="P23:P28"/>
    <mergeCell ref="Q23:Q28"/>
    <mergeCell ref="A53:A58"/>
    <mergeCell ref="B53:B58"/>
    <mergeCell ref="F53:F58"/>
    <mergeCell ref="H53:H58"/>
    <mergeCell ref="A47:A52"/>
    <mergeCell ref="B47:B52"/>
    <mergeCell ref="F47:F52"/>
    <mergeCell ref="H47:H52"/>
    <mergeCell ref="P35:P40"/>
    <mergeCell ref="P41:P46"/>
    <mergeCell ref="M47:M52"/>
    <mergeCell ref="N47:N52"/>
    <mergeCell ref="O47:O52"/>
    <mergeCell ref="A35:A40"/>
    <mergeCell ref="B35:B40"/>
    <mergeCell ref="A41:A46"/>
    <mergeCell ref="B41:B46"/>
    <mergeCell ref="F41:F46"/>
    <mergeCell ref="L35:L40"/>
    <mergeCell ref="N29:N34"/>
    <mergeCell ref="O29:O34"/>
    <mergeCell ref="P29:P34"/>
    <mergeCell ref="Q29:Q34"/>
    <mergeCell ref="A23:A28"/>
    <mergeCell ref="B23:B28"/>
    <mergeCell ref="A29:A34"/>
    <mergeCell ref="B29:B34"/>
    <mergeCell ref="F29:F34"/>
    <mergeCell ref="H29:H34"/>
    <mergeCell ref="I29:I34"/>
    <mergeCell ref="J29:J34"/>
    <mergeCell ref="K29:K34"/>
    <mergeCell ref="L29:L34"/>
    <mergeCell ref="M29:M34"/>
    <mergeCell ref="C23:C28"/>
    <mergeCell ref="C29:C34"/>
    <mergeCell ref="I35:I40"/>
    <mergeCell ref="J35:J40"/>
    <mergeCell ref="K35:K40"/>
    <mergeCell ref="B71:AM71"/>
    <mergeCell ref="P59:P64"/>
    <mergeCell ref="Q59:Q64"/>
    <mergeCell ref="N65:N70"/>
    <mergeCell ref="O65:O70"/>
    <mergeCell ref="P65:P70"/>
    <mergeCell ref="Q65:Q70"/>
    <mergeCell ref="M59:M64"/>
    <mergeCell ref="N59:N64"/>
    <mergeCell ref="O59:O64"/>
    <mergeCell ref="H41:H46"/>
    <mergeCell ref="I41:I46"/>
    <mergeCell ref="F35:F40"/>
    <mergeCell ref="H35:H40"/>
    <mergeCell ref="M41:M46"/>
    <mergeCell ref="N41:N46"/>
    <mergeCell ref="N35:N40"/>
    <mergeCell ref="Q35:Q40"/>
    <mergeCell ref="Q41:Q46"/>
    <mergeCell ref="O41:O46"/>
    <mergeCell ref="C41:C46"/>
    <mergeCell ref="A65:A70"/>
    <mergeCell ref="B65:B70"/>
    <mergeCell ref="F65:F70"/>
    <mergeCell ref="H65:H70"/>
    <mergeCell ref="I65:I70"/>
    <mergeCell ref="J65:J70"/>
    <mergeCell ref="K65:K70"/>
    <mergeCell ref="L65:L70"/>
    <mergeCell ref="M65:M70"/>
    <mergeCell ref="D65:D70"/>
    <mergeCell ref="G65:G70"/>
    <mergeCell ref="A59:A64"/>
    <mergeCell ref="B59:B64"/>
    <mergeCell ref="F59:F64"/>
    <mergeCell ref="H59:H64"/>
    <mergeCell ref="I59:I64"/>
    <mergeCell ref="R5:T5"/>
    <mergeCell ref="B9:B10"/>
    <mergeCell ref="E9:E10"/>
    <mergeCell ref="G9:G10"/>
    <mergeCell ref="D9:D10"/>
    <mergeCell ref="G17:G22"/>
    <mergeCell ref="G23:G28"/>
    <mergeCell ref="G29:G34"/>
    <mergeCell ref="G35:G40"/>
    <mergeCell ref="G41:G46"/>
    <mergeCell ref="G47:G52"/>
    <mergeCell ref="G53:G58"/>
    <mergeCell ref="G59:G64"/>
    <mergeCell ref="D17:D22"/>
    <mergeCell ref="D23:D28"/>
    <mergeCell ref="D29:D34"/>
    <mergeCell ref="D35:D40"/>
    <mergeCell ref="D41:D46"/>
    <mergeCell ref="D47:D52"/>
    <mergeCell ref="R4:T4"/>
    <mergeCell ref="A1:AM2"/>
    <mergeCell ref="A8:J8"/>
    <mergeCell ref="K8:Q8"/>
    <mergeCell ref="R8:Z8"/>
    <mergeCell ref="AA8:AG8"/>
    <mergeCell ref="AH8:AM8"/>
    <mergeCell ref="AH9:AH10"/>
    <mergeCell ref="AM9:AM10"/>
    <mergeCell ref="AL9:AL10"/>
    <mergeCell ref="AK9:AK10"/>
    <mergeCell ref="AJ9:AJ10"/>
    <mergeCell ref="AI9:AI10"/>
    <mergeCell ref="A9:A10"/>
    <mergeCell ref="I9:I10"/>
    <mergeCell ref="H9:H10"/>
    <mergeCell ref="F9:F10"/>
    <mergeCell ref="C9:C10"/>
    <mergeCell ref="AG9:AG10"/>
    <mergeCell ref="D6:Q6"/>
    <mergeCell ref="D7:Q7"/>
    <mergeCell ref="R9:R10"/>
    <mergeCell ref="AF9:AF10"/>
    <mergeCell ref="AE9:AE10"/>
    <mergeCell ref="C47:C52"/>
    <mergeCell ref="C53:C58"/>
    <mergeCell ref="C59:C64"/>
    <mergeCell ref="C65:C70"/>
    <mergeCell ref="Q47:Q52"/>
    <mergeCell ref="I53:I58"/>
    <mergeCell ref="J53:J58"/>
    <mergeCell ref="K53:K58"/>
    <mergeCell ref="L53:L58"/>
    <mergeCell ref="M53:M58"/>
    <mergeCell ref="I47:I52"/>
    <mergeCell ref="J47:J52"/>
    <mergeCell ref="K47:K52"/>
    <mergeCell ref="L47:L52"/>
    <mergeCell ref="N53:N58"/>
    <mergeCell ref="O53:O58"/>
    <mergeCell ref="P53:P58"/>
    <mergeCell ref="Q53:Q58"/>
    <mergeCell ref="D53:D58"/>
    <mergeCell ref="D59:D64"/>
    <mergeCell ref="J59:J64"/>
    <mergeCell ref="K59:K64"/>
    <mergeCell ref="L59:L64"/>
    <mergeCell ref="P47:P52"/>
  </mergeCells>
  <conditionalFormatting sqref="K11 K17">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K23">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K29">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K35">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K41">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K47">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K53">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K59">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K65">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N11:N70">
    <cfRule type="containsText" dxfId="59" priority="1" operator="containsText" text="❌">
      <formula>NOT(ISERROR(SEARCH("❌",N11)))</formula>
    </cfRule>
  </conditionalFormatting>
  <conditionalFormatting sqref="O11 O17 O23 O29 O35 O41 O47 O53 O59 O65">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Q11">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Q17">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Q23">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Q29">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Q35">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Q41">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Q47">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Q53">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Q59">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Q65">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AB11:AB70">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D11:AD70">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F11:AF70">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pageMargins left="0.7" right="0.7" top="0.75" bottom="0.75" header="0.3" footer="0.3"/>
  <pageSetup orientation="portrait" r:id="rId1"/>
  <ignoredErrors>
    <ignoredError sqref="AE13" formula="1"/>
  </ignoredErrors>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0000000}">
          <x14:formula1>
            <xm:f>'Tabla Valoración controles'!$D$4:$D$6</xm:f>
          </x14:formula1>
          <xm:sqref>U11:U70</xm:sqref>
        </x14:dataValidation>
        <x14:dataValidation type="list" allowBlank="1" showInputMessage="1" showErrorMessage="1" xr:uid="{00000000-0002-0000-0100-000001000000}">
          <x14:formula1>
            <xm:f>'Tabla Valoración controles'!$D$7:$D$8</xm:f>
          </x14:formula1>
          <xm:sqref>V11:V70</xm:sqref>
        </x14:dataValidation>
        <x14:dataValidation type="list" allowBlank="1" showInputMessage="1" showErrorMessage="1" xr:uid="{00000000-0002-0000-0100-000002000000}">
          <x14:formula1>
            <xm:f>'Tabla Valoración controles'!$D$9:$D$10</xm:f>
          </x14:formula1>
          <xm:sqref>X11:X70</xm:sqref>
        </x14:dataValidation>
        <x14:dataValidation type="list" allowBlank="1" showInputMessage="1" showErrorMessage="1" xr:uid="{00000000-0002-0000-0100-000003000000}">
          <x14:formula1>
            <xm:f>'Tabla Valoración controles'!$D$11:$D$12</xm:f>
          </x14:formula1>
          <xm:sqref>Y11:Y70</xm:sqref>
        </x14:dataValidation>
        <x14:dataValidation type="list" allowBlank="1" showInputMessage="1" showErrorMessage="1" xr:uid="{00000000-0002-0000-0100-000004000000}">
          <x14:formula1>
            <xm:f>'Tabla Valoración controles'!$D$13:$D$14</xm:f>
          </x14:formula1>
          <xm:sqref>Z11:Z70</xm:sqref>
        </x14:dataValidation>
        <x14:dataValidation type="list" allowBlank="1" showInputMessage="1" showErrorMessage="1" xr:uid="{00000000-0002-0000-0100-000005000000}">
          <x14:formula1>
            <xm:f>'Opciones Tratamiento'!$E$2:$E$4</xm:f>
          </x14:formula1>
          <xm:sqref>D11:D70</xm:sqref>
        </x14:dataValidation>
        <x14:dataValidation type="list" allowBlank="1" showInputMessage="1" showErrorMessage="1" xr:uid="{00000000-0002-0000-0100-000006000000}">
          <x14:formula1>
            <xm:f>'Opciones Tratamiento'!$B$2:$B$5</xm:f>
          </x14:formula1>
          <xm:sqref>AG11:AG70</xm:sqref>
        </x14:dataValidation>
        <x14:dataValidation type="list" allowBlank="1" showInputMessage="1" showErrorMessage="1" xr:uid="{00000000-0002-0000-0100-000007000000}">
          <x14:formula1>
            <xm:f>'Tabla Impacto'!$F$210:$F$221</xm:f>
          </x14:formula1>
          <xm:sqref>M11:M70</xm:sqref>
        </x14:dataValidation>
        <x14:dataValidation type="custom" allowBlank="1" showInputMessage="1" showErrorMessage="1" error="Recuerde que las acciones se generan bajo la medida de mitigar el riesgo" xr:uid="{00000000-0002-0000-0100-000008000000}">
          <x14:formula1>
            <xm:f>IF(OR(AG11='Opciones Tratamiento'!$B$2,AG11='Opciones Tratamiento'!$B$3,AG11='Opciones Tratamiento'!$B$4),ISBLANK(AG11),ISTEXT(AG11))</xm:f>
          </x14:formula1>
          <xm:sqref>AH11:AH70</xm:sqref>
        </x14:dataValidation>
        <x14:dataValidation type="custom" allowBlank="1" showInputMessage="1" showErrorMessage="1" error="Recuerde que las acciones se generan bajo la medida de mitigar el riesgo" xr:uid="{00000000-0002-0000-0100-000009000000}">
          <x14:formula1>
            <xm:f>IF(OR(AG11='Opciones Tratamiento'!$B$2,AG11='Opciones Tratamiento'!$B$3,AG11='Opciones Tratamiento'!$B$4),ISBLANK(AG11),ISTEXT(AG11))</xm:f>
          </x14:formula1>
          <xm:sqref>AI11:AI70</xm:sqref>
        </x14:dataValidation>
        <x14:dataValidation type="custom" allowBlank="1" showInputMessage="1" showErrorMessage="1" error="Recuerde que las acciones se generan bajo la medida de mitigar el riesgo" xr:uid="{00000000-0002-0000-0100-00000A000000}">
          <x14:formula1>
            <xm:f>IF(OR(AG11='Opciones Tratamiento'!$B$2,AG11='Opciones Tratamiento'!$B$3,AG11='Opciones Tratamiento'!$B$4),ISBLANK(AG11),ISTEXT(AG11))</xm:f>
          </x14:formula1>
          <xm:sqref>AJ11:AJ70</xm:sqref>
        </x14:dataValidation>
        <x14:dataValidation type="custom" allowBlank="1" showInputMessage="1" showErrorMessage="1" error="Recuerde que las acciones se generan bajo la medida de mitigar el riesgo" xr:uid="{00000000-0002-0000-0100-00000B000000}">
          <x14:formula1>
            <xm:f>IF(OR(AG11='Opciones Tratamiento'!$B$2,AG11='Opciones Tratamiento'!$B$3,AG11='Opciones Tratamiento'!$B$4),ISBLANK(AG11),ISTEXT(AG11))</xm:f>
          </x14:formula1>
          <xm:sqref>AK11:AK70</xm:sqref>
        </x14:dataValidation>
        <x14:dataValidation type="custom" allowBlank="1" showInputMessage="1" showErrorMessage="1" error="Recuerde que las acciones se generan bajo la medida de mitigar el riesgo" xr:uid="{00000000-0002-0000-0100-00000C000000}">
          <x14:formula1>
            <xm:f>IF(OR(AG11='Opciones Tratamiento'!$B$2,AG11='Opciones Tratamiento'!$B$3,AG11='Opciones Tratamiento'!$B$4),ISBLANK(AG11),ISTEXT(AG11))</xm:f>
          </x14:formula1>
          <xm:sqref>AL11:AL70</xm:sqref>
        </x14:dataValidation>
        <x14:dataValidation type="list" allowBlank="1" showInputMessage="1" showErrorMessage="1" xr:uid="{00000000-0002-0000-0100-00000D000000}">
          <x14:formula1>
            <xm:f>Procesos!$D$16:$D$22</xm:f>
          </x14:formula1>
          <xm:sqref>D23 D11 D29 D35 D41 D47 D53 D59 D17 B11 B17 B59 B53 B47 B41 B35 B29 B23 B65 D65</xm:sqref>
        </x14:dataValidation>
        <x14:dataValidation type="list" allowBlank="1" showInputMessage="1" showErrorMessage="1" xr:uid="{00000000-0002-0000-0100-00000E000000}">
          <x14:formula1>
            <xm:f>Procesos!$E$2:$E$27</xm:f>
          </x14:formula1>
          <xm:sqref>D5:Q5</xm:sqref>
        </x14:dataValidation>
        <x14:dataValidation type="list" allowBlank="1" showInputMessage="1" showErrorMessage="1" xr:uid="{00000000-0002-0000-0100-00000F000000}">
          <x14:formula1>
            <xm:f>'Tabla Impacto'!$D$229:$D$237</xm:f>
          </x14:formula1>
          <xm:sqref>G11:G28</xm:sqref>
        </x14:dataValidation>
        <x14:dataValidation type="list" allowBlank="1" showInputMessage="1" showErrorMessage="1" xr:uid="{00000000-0002-0000-0100-000010000000}">
          <x14:formula1>
            <xm:f>'Opciones Tratamiento'!$B$9:$B$11</xm:f>
          </x14:formula1>
          <xm:sqref>AM11:AM70</xm:sqref>
        </x14:dataValidation>
        <x14:dataValidation type="list" allowBlank="1" showInputMessage="1" showErrorMessage="1" xr:uid="{00000000-0002-0000-0100-000011000000}">
          <x14:formula1>
            <xm:f>'Opciones Tratamiento'!$B$13:$B$19</xm:f>
          </x14:formula1>
          <xm:sqref>I11:I70</xm:sqref>
        </x14:dataValidation>
        <x14:dataValidation type="list" allowBlank="1" showInputMessage="1" showErrorMessage="1" xr:uid="{00000000-0002-0000-0100-000012000000}">
          <x14:formula1>
            <xm:f>Procesos!$A$2:$A$22</xm:f>
          </x14:formula1>
          <xm:sqref>D4:Q4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T36" sqref="T36:U37"/>
    </sheetView>
  </sheetViews>
  <sheetFormatPr baseColWidth="10" defaultRowHeight="15" x14ac:dyDescent="0.25"/>
  <cols>
    <col min="2" max="39" width="5.5703125" customWidth="1"/>
    <col min="41" max="46" width="5.570312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67" t="s">
        <v>143</v>
      </c>
      <c r="C2" s="367"/>
      <c r="D2" s="367"/>
      <c r="E2" s="367"/>
      <c r="F2" s="367"/>
      <c r="G2" s="367"/>
      <c r="H2" s="367"/>
      <c r="I2" s="367"/>
      <c r="J2" s="335" t="s">
        <v>2</v>
      </c>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67"/>
      <c r="C3" s="367"/>
      <c r="D3" s="367"/>
      <c r="E3" s="367"/>
      <c r="F3" s="367"/>
      <c r="G3" s="367"/>
      <c r="H3" s="367"/>
      <c r="I3" s="367"/>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67"/>
      <c r="C4" s="367"/>
      <c r="D4" s="367"/>
      <c r="E4" s="367"/>
      <c r="F4" s="367"/>
      <c r="G4" s="367"/>
      <c r="H4" s="367"/>
      <c r="I4" s="367"/>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282" t="s">
        <v>3</v>
      </c>
      <c r="C6" s="282"/>
      <c r="D6" s="283"/>
      <c r="E6" s="320" t="s">
        <v>108</v>
      </c>
      <c r="F6" s="321"/>
      <c r="G6" s="321"/>
      <c r="H6" s="321"/>
      <c r="I6" s="322"/>
      <c r="J6" s="331" t="str">
        <f>IF(AND('Mapa final'!$K$11="Muy Alta",'Mapa final'!$O$11="Leve"),CONCATENATE("R",'Mapa final'!$A$11),"")</f>
        <v/>
      </c>
      <c r="K6" s="332"/>
      <c r="L6" s="332" t="str">
        <f>IF(AND('Mapa final'!$K$17="Muy Alta",'Mapa final'!$O$17="Leve"),CONCATENATE("R",'Mapa final'!$A$17),"")</f>
        <v/>
      </c>
      <c r="M6" s="332"/>
      <c r="N6" s="332" t="str">
        <f>IF(AND('Mapa final'!$K$23="Muy Alta",'Mapa final'!$O$23="Leve"),CONCATENATE("R",'Mapa final'!$A$23),"")</f>
        <v/>
      </c>
      <c r="O6" s="334"/>
      <c r="P6" s="331" t="str">
        <f>IF(AND('Mapa final'!$K$11="Muy Alta",'Mapa final'!$O$11="Menor"),CONCATENATE("R",'Mapa final'!$A$11),"")</f>
        <v/>
      </c>
      <c r="Q6" s="332"/>
      <c r="R6" s="332" t="str">
        <f>IF(AND('Mapa final'!$K$17="Muy Alta",'Mapa final'!$O$17="Menor"),CONCATENATE("R",'Mapa final'!$A$17),"")</f>
        <v/>
      </c>
      <c r="S6" s="332"/>
      <c r="T6" s="332" t="str">
        <f>IF(AND('Mapa final'!$K$23="Muy Alta",'Mapa final'!$O$23="Menor"),CONCATENATE("R",'Mapa final'!$A$23),"")</f>
        <v/>
      </c>
      <c r="U6" s="334"/>
      <c r="V6" s="331" t="str">
        <f>IF(AND('Mapa final'!$K$11="Muy Alta",'Mapa final'!$O$11="Moderado"),CONCATENATE("R",'Mapa final'!$A$11),"")</f>
        <v/>
      </c>
      <c r="W6" s="332"/>
      <c r="X6" s="332" t="str">
        <f>IF(AND('Mapa final'!$K$17="Muy Alta",'Mapa final'!$O$17="Moderado"),CONCATENATE("R",'Mapa final'!$A$17),"")</f>
        <v/>
      </c>
      <c r="Y6" s="332"/>
      <c r="Z6" s="332" t="str">
        <f>IF(AND('Mapa final'!$K$23="Muy Alta",'Mapa final'!$O$23="Moderado"),CONCATENATE("R",'Mapa final'!$A$23),"")</f>
        <v/>
      </c>
      <c r="AA6" s="334"/>
      <c r="AB6" s="331" t="str">
        <f>IF(AND('Mapa final'!$K$11="Muy Alta",'Mapa final'!$O$11="Mayor"),CONCATENATE("R",'Mapa final'!$A$11),"")</f>
        <v/>
      </c>
      <c r="AC6" s="332"/>
      <c r="AD6" s="332" t="str">
        <f>IF(AND('Mapa final'!$K$17="Muy Alta",'Mapa final'!$O$17="Mayor"),CONCATENATE("R",'Mapa final'!$A$17),"")</f>
        <v/>
      </c>
      <c r="AE6" s="332"/>
      <c r="AF6" s="332" t="str">
        <f>IF(AND('Mapa final'!$K$23="Muy Alta",'Mapa final'!$O$23="Mayor"),CONCATENATE("R",'Mapa final'!$A$23),"")</f>
        <v/>
      </c>
      <c r="AG6" s="334"/>
      <c r="AH6" s="346" t="str">
        <f>IF(AND('Mapa final'!$K$11="Muy Alta",'Mapa final'!$O$11="Catastrófico"),CONCATENATE("R",'Mapa final'!$A$11),"")</f>
        <v/>
      </c>
      <c r="AI6" s="347"/>
      <c r="AJ6" s="347" t="str">
        <f>IF(AND('Mapa final'!$K$17="Muy Alta",'Mapa final'!$O$17="Catastrófico"),CONCATENATE("R",'Mapa final'!$A$17),"")</f>
        <v/>
      </c>
      <c r="AK6" s="347"/>
      <c r="AL6" s="347" t="str">
        <f>IF(AND('Mapa final'!$K$23="Muy Alta",'Mapa final'!$O$23="Catastrófico"),CONCATENATE("R",'Mapa final'!$A$23),"")</f>
        <v/>
      </c>
      <c r="AM6" s="348"/>
      <c r="AO6" s="284" t="s">
        <v>76</v>
      </c>
      <c r="AP6" s="285"/>
      <c r="AQ6" s="285"/>
      <c r="AR6" s="285"/>
      <c r="AS6" s="285"/>
      <c r="AT6" s="286"/>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282"/>
      <c r="C7" s="282"/>
      <c r="D7" s="283"/>
      <c r="E7" s="323"/>
      <c r="F7" s="324"/>
      <c r="G7" s="324"/>
      <c r="H7" s="324"/>
      <c r="I7" s="325"/>
      <c r="J7" s="333"/>
      <c r="K7" s="329"/>
      <c r="L7" s="329"/>
      <c r="M7" s="329"/>
      <c r="N7" s="329"/>
      <c r="O7" s="330"/>
      <c r="P7" s="333"/>
      <c r="Q7" s="329"/>
      <c r="R7" s="329"/>
      <c r="S7" s="329"/>
      <c r="T7" s="329"/>
      <c r="U7" s="330"/>
      <c r="V7" s="333"/>
      <c r="W7" s="329"/>
      <c r="X7" s="329"/>
      <c r="Y7" s="329"/>
      <c r="Z7" s="329"/>
      <c r="AA7" s="330"/>
      <c r="AB7" s="333"/>
      <c r="AC7" s="329"/>
      <c r="AD7" s="329"/>
      <c r="AE7" s="329"/>
      <c r="AF7" s="329"/>
      <c r="AG7" s="330"/>
      <c r="AH7" s="340"/>
      <c r="AI7" s="341"/>
      <c r="AJ7" s="341"/>
      <c r="AK7" s="341"/>
      <c r="AL7" s="341"/>
      <c r="AM7" s="342"/>
      <c r="AN7" s="82"/>
      <c r="AO7" s="287"/>
      <c r="AP7" s="288"/>
      <c r="AQ7" s="288"/>
      <c r="AR7" s="288"/>
      <c r="AS7" s="288"/>
      <c r="AT7" s="289"/>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282"/>
      <c r="C8" s="282"/>
      <c r="D8" s="283"/>
      <c r="E8" s="323"/>
      <c r="F8" s="324"/>
      <c r="G8" s="324"/>
      <c r="H8" s="324"/>
      <c r="I8" s="325"/>
      <c r="J8" s="333" t="str">
        <f>IF(AND('Mapa final'!$K$29="Muy Alta",'Mapa final'!$O$29="Leve"),CONCATENATE("R",'Mapa final'!$A$29),"")</f>
        <v/>
      </c>
      <c r="K8" s="329"/>
      <c r="L8" s="329" t="str">
        <f>IF(AND('Mapa final'!$K$35="Muy Alta",'Mapa final'!$O$35="Leve"),CONCATENATE("R",'Mapa final'!$A$35),"")</f>
        <v/>
      </c>
      <c r="M8" s="329"/>
      <c r="N8" s="329" t="str">
        <f>IF(AND('Mapa final'!$K$41="Muy Alta",'Mapa final'!$O$41="Leve"),CONCATENATE("R",'Mapa final'!$A$41),"")</f>
        <v/>
      </c>
      <c r="O8" s="330"/>
      <c r="P8" s="333" t="str">
        <f>IF(AND('Mapa final'!$K$29="Muy Alta",'Mapa final'!$O$29="Menor"),CONCATENATE("R",'Mapa final'!$A$29),"")</f>
        <v/>
      </c>
      <c r="Q8" s="329"/>
      <c r="R8" s="329" t="str">
        <f>IF(AND('Mapa final'!$K$35="Muy Alta",'Mapa final'!$O$35="Menor"),CONCATENATE("R",'Mapa final'!$A$35),"")</f>
        <v/>
      </c>
      <c r="S8" s="329"/>
      <c r="T8" s="329" t="str">
        <f>IF(AND('Mapa final'!$K$41="Muy Alta",'Mapa final'!$O$41="Menor"),CONCATENATE("R",'Mapa final'!$A$41),"")</f>
        <v/>
      </c>
      <c r="U8" s="330"/>
      <c r="V8" s="333" t="str">
        <f>IF(AND('Mapa final'!$K$29="Muy Alta",'Mapa final'!$O$29="Moderado"),CONCATENATE("R",'Mapa final'!$A$29),"")</f>
        <v/>
      </c>
      <c r="W8" s="329"/>
      <c r="X8" s="329" t="str">
        <f>IF(AND('Mapa final'!$K$35="Muy Alta",'Mapa final'!$O$35="Moderado"),CONCATENATE("R",'Mapa final'!$A$35),"")</f>
        <v/>
      </c>
      <c r="Y8" s="329"/>
      <c r="Z8" s="329" t="str">
        <f>IF(AND('Mapa final'!$K$41="Muy Alta",'Mapa final'!$O$41="Moderado"),CONCATENATE("R",'Mapa final'!$A$41),"")</f>
        <v/>
      </c>
      <c r="AA8" s="330"/>
      <c r="AB8" s="333" t="str">
        <f>IF(AND('Mapa final'!$K$29="Muy Alta",'Mapa final'!$O$29="Mayor"),CONCATENATE("R",'Mapa final'!$A$29),"")</f>
        <v/>
      </c>
      <c r="AC8" s="329"/>
      <c r="AD8" s="329" t="str">
        <f>IF(AND('Mapa final'!$K$35="Muy Alta",'Mapa final'!$O$35="Mayor"),CONCATENATE("R",'Mapa final'!$A$35),"")</f>
        <v/>
      </c>
      <c r="AE8" s="329"/>
      <c r="AF8" s="329" t="str">
        <f>IF(AND('Mapa final'!$K$41="Muy Alta",'Mapa final'!$O$41="Mayor"),CONCATENATE("R",'Mapa final'!$A$41),"")</f>
        <v/>
      </c>
      <c r="AG8" s="330"/>
      <c r="AH8" s="340" t="str">
        <f>IF(AND('Mapa final'!$K$29="Muy Alta",'Mapa final'!$O$29="Catastrófico"),CONCATENATE("R",'Mapa final'!$A$29),"")</f>
        <v/>
      </c>
      <c r="AI8" s="341"/>
      <c r="AJ8" s="341" t="str">
        <f>IF(AND('Mapa final'!$K$35="Muy Alta",'Mapa final'!$O$35="Catastrófico"),CONCATENATE("R",'Mapa final'!$A$35),"")</f>
        <v/>
      </c>
      <c r="AK8" s="341"/>
      <c r="AL8" s="341" t="str">
        <f>IF(AND('Mapa final'!$K$41="Muy Alta",'Mapa final'!$O$41="Catastrófico"),CONCATENATE("R",'Mapa final'!$A$41),"")</f>
        <v/>
      </c>
      <c r="AM8" s="342"/>
      <c r="AN8" s="82"/>
      <c r="AO8" s="287"/>
      <c r="AP8" s="288"/>
      <c r="AQ8" s="288"/>
      <c r="AR8" s="288"/>
      <c r="AS8" s="288"/>
      <c r="AT8" s="289"/>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282"/>
      <c r="C9" s="282"/>
      <c r="D9" s="283"/>
      <c r="E9" s="323"/>
      <c r="F9" s="324"/>
      <c r="G9" s="324"/>
      <c r="H9" s="324"/>
      <c r="I9" s="325"/>
      <c r="J9" s="333"/>
      <c r="K9" s="329"/>
      <c r="L9" s="329"/>
      <c r="M9" s="329"/>
      <c r="N9" s="329"/>
      <c r="O9" s="330"/>
      <c r="P9" s="333"/>
      <c r="Q9" s="329"/>
      <c r="R9" s="329"/>
      <c r="S9" s="329"/>
      <c r="T9" s="329"/>
      <c r="U9" s="330"/>
      <c r="V9" s="333"/>
      <c r="W9" s="329"/>
      <c r="X9" s="329"/>
      <c r="Y9" s="329"/>
      <c r="Z9" s="329"/>
      <c r="AA9" s="330"/>
      <c r="AB9" s="333"/>
      <c r="AC9" s="329"/>
      <c r="AD9" s="329"/>
      <c r="AE9" s="329"/>
      <c r="AF9" s="329"/>
      <c r="AG9" s="330"/>
      <c r="AH9" s="340"/>
      <c r="AI9" s="341"/>
      <c r="AJ9" s="341"/>
      <c r="AK9" s="341"/>
      <c r="AL9" s="341"/>
      <c r="AM9" s="342"/>
      <c r="AN9" s="82"/>
      <c r="AO9" s="287"/>
      <c r="AP9" s="288"/>
      <c r="AQ9" s="288"/>
      <c r="AR9" s="288"/>
      <c r="AS9" s="288"/>
      <c r="AT9" s="289"/>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282"/>
      <c r="C10" s="282"/>
      <c r="D10" s="283"/>
      <c r="E10" s="323"/>
      <c r="F10" s="324"/>
      <c r="G10" s="324"/>
      <c r="H10" s="324"/>
      <c r="I10" s="325"/>
      <c r="J10" s="333" t="str">
        <f>IF(AND('Mapa final'!$K$47="Muy Alta",'Mapa final'!$O$47="Leve"),CONCATENATE("R",'Mapa final'!$A$47),"")</f>
        <v/>
      </c>
      <c r="K10" s="329"/>
      <c r="L10" s="329" t="str">
        <f>IF(AND('Mapa final'!$K$53="Muy Alta",'Mapa final'!$O$53="Leve"),CONCATENATE("R",'Mapa final'!$A$53),"")</f>
        <v/>
      </c>
      <c r="M10" s="329"/>
      <c r="N10" s="329" t="str">
        <f>IF(AND('Mapa final'!$K$59="Muy Alta",'Mapa final'!$O$59="Leve"),CONCATENATE("R",'Mapa final'!$A$59),"")</f>
        <v/>
      </c>
      <c r="O10" s="330"/>
      <c r="P10" s="333" t="str">
        <f>IF(AND('Mapa final'!$K$47="Muy Alta",'Mapa final'!$O$47="Menor"),CONCATENATE("R",'Mapa final'!$A$47),"")</f>
        <v/>
      </c>
      <c r="Q10" s="329"/>
      <c r="R10" s="329" t="str">
        <f>IF(AND('Mapa final'!$K$53="Muy Alta",'Mapa final'!$O$53="Menor"),CONCATENATE("R",'Mapa final'!$A$53),"")</f>
        <v/>
      </c>
      <c r="S10" s="329"/>
      <c r="T10" s="329" t="str">
        <f>IF(AND('Mapa final'!$K$59="Muy Alta",'Mapa final'!$O$59="Menor"),CONCATENATE("R",'Mapa final'!$A$59),"")</f>
        <v/>
      </c>
      <c r="U10" s="330"/>
      <c r="V10" s="333" t="str">
        <f>IF(AND('Mapa final'!$K$47="Muy Alta",'Mapa final'!$O$47="Moderado"),CONCATENATE("R",'Mapa final'!$A$47),"")</f>
        <v/>
      </c>
      <c r="W10" s="329"/>
      <c r="X10" s="329" t="str">
        <f>IF(AND('Mapa final'!$K$53="Muy Alta",'Mapa final'!$O$53="Moderado"),CONCATENATE("R",'Mapa final'!$A$53),"")</f>
        <v/>
      </c>
      <c r="Y10" s="329"/>
      <c r="Z10" s="329" t="str">
        <f>IF(AND('Mapa final'!$K$59="Muy Alta",'Mapa final'!$O$59="Moderado"),CONCATENATE("R",'Mapa final'!$A$59),"")</f>
        <v/>
      </c>
      <c r="AA10" s="330"/>
      <c r="AB10" s="333" t="str">
        <f>IF(AND('Mapa final'!$K$47="Muy Alta",'Mapa final'!$O$47="Mayor"),CONCATENATE("R",'Mapa final'!$A$47),"")</f>
        <v/>
      </c>
      <c r="AC10" s="329"/>
      <c r="AD10" s="329" t="str">
        <f>IF(AND('Mapa final'!$K$53="Muy Alta",'Mapa final'!$O$53="Mayor"),CONCATENATE("R",'Mapa final'!$A$53),"")</f>
        <v/>
      </c>
      <c r="AE10" s="329"/>
      <c r="AF10" s="329" t="str">
        <f>IF(AND('Mapa final'!$K$59="Muy Alta",'Mapa final'!$O$59="Mayor"),CONCATENATE("R",'Mapa final'!$A$59),"")</f>
        <v/>
      </c>
      <c r="AG10" s="330"/>
      <c r="AH10" s="340" t="str">
        <f>IF(AND('Mapa final'!$K$47="Muy Alta",'Mapa final'!$O$47="Catastrófico"),CONCATENATE("R",'Mapa final'!$A$47),"")</f>
        <v/>
      </c>
      <c r="AI10" s="341"/>
      <c r="AJ10" s="341" t="str">
        <f>IF(AND('Mapa final'!$K$53="Muy Alta",'Mapa final'!$O$53="Catastrófico"),CONCATENATE("R",'Mapa final'!$A$53),"")</f>
        <v/>
      </c>
      <c r="AK10" s="341"/>
      <c r="AL10" s="341" t="str">
        <f>IF(AND('Mapa final'!$K$59="Muy Alta",'Mapa final'!$O$59="Catastrófico"),CONCATENATE("R",'Mapa final'!$A$59),"")</f>
        <v/>
      </c>
      <c r="AM10" s="342"/>
      <c r="AN10" s="82"/>
      <c r="AO10" s="287"/>
      <c r="AP10" s="288"/>
      <c r="AQ10" s="288"/>
      <c r="AR10" s="288"/>
      <c r="AS10" s="288"/>
      <c r="AT10" s="289"/>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282"/>
      <c r="C11" s="282"/>
      <c r="D11" s="283"/>
      <c r="E11" s="323"/>
      <c r="F11" s="324"/>
      <c r="G11" s="324"/>
      <c r="H11" s="324"/>
      <c r="I11" s="325"/>
      <c r="J11" s="333"/>
      <c r="K11" s="329"/>
      <c r="L11" s="329"/>
      <c r="M11" s="329"/>
      <c r="N11" s="329"/>
      <c r="O11" s="330"/>
      <c r="P11" s="333"/>
      <c r="Q11" s="329"/>
      <c r="R11" s="329"/>
      <c r="S11" s="329"/>
      <c r="T11" s="329"/>
      <c r="U11" s="330"/>
      <c r="V11" s="333"/>
      <c r="W11" s="329"/>
      <c r="X11" s="329"/>
      <c r="Y11" s="329"/>
      <c r="Z11" s="329"/>
      <c r="AA11" s="330"/>
      <c r="AB11" s="333"/>
      <c r="AC11" s="329"/>
      <c r="AD11" s="329"/>
      <c r="AE11" s="329"/>
      <c r="AF11" s="329"/>
      <c r="AG11" s="330"/>
      <c r="AH11" s="340"/>
      <c r="AI11" s="341"/>
      <c r="AJ11" s="341"/>
      <c r="AK11" s="341"/>
      <c r="AL11" s="341"/>
      <c r="AM11" s="342"/>
      <c r="AN11" s="82"/>
      <c r="AO11" s="287"/>
      <c r="AP11" s="288"/>
      <c r="AQ11" s="288"/>
      <c r="AR11" s="288"/>
      <c r="AS11" s="288"/>
      <c r="AT11" s="289"/>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282"/>
      <c r="C12" s="282"/>
      <c r="D12" s="283"/>
      <c r="E12" s="323"/>
      <c r="F12" s="324"/>
      <c r="G12" s="324"/>
      <c r="H12" s="324"/>
      <c r="I12" s="325"/>
      <c r="J12" s="333" t="str">
        <f>IF(AND('Mapa final'!$K$65="Muy Alta",'Mapa final'!$O$65="Leve"),CONCATENATE("R",'Mapa final'!$A$65),"")</f>
        <v/>
      </c>
      <c r="K12" s="329"/>
      <c r="L12" s="329" t="str">
        <f>IF(AND('Mapa final'!$K$71="Muy Alta",'Mapa final'!$O$71="Leve"),CONCATENATE("R",'Mapa final'!$A$71),"")</f>
        <v/>
      </c>
      <c r="M12" s="329"/>
      <c r="N12" s="329" t="str">
        <f>IF(AND('Mapa final'!$K$77="Muy Alta",'Mapa final'!$O$77="Leve"),CONCATENATE("R",'Mapa final'!$A$77),"")</f>
        <v/>
      </c>
      <c r="O12" s="330"/>
      <c r="P12" s="333" t="str">
        <f>IF(AND('Mapa final'!$K$65="Muy Alta",'Mapa final'!$O$65="Menor"),CONCATENATE("R",'Mapa final'!$A$65),"")</f>
        <v/>
      </c>
      <c r="Q12" s="329"/>
      <c r="R12" s="329" t="str">
        <f>IF(AND('Mapa final'!$K$71="Muy Alta",'Mapa final'!$O$71="Menor"),CONCATENATE("R",'Mapa final'!$A$71),"")</f>
        <v/>
      </c>
      <c r="S12" s="329"/>
      <c r="T12" s="329" t="str">
        <f>IF(AND('Mapa final'!$K$77="Muy Alta",'Mapa final'!$O$77="Menor"),CONCATENATE("R",'Mapa final'!$A$77),"")</f>
        <v/>
      </c>
      <c r="U12" s="330"/>
      <c r="V12" s="333" t="str">
        <f>IF(AND('Mapa final'!$K$65="Muy Alta",'Mapa final'!$O$65="Moderado"),CONCATENATE("R",'Mapa final'!$A$65),"")</f>
        <v/>
      </c>
      <c r="W12" s="329"/>
      <c r="X12" s="329" t="str">
        <f>IF(AND('Mapa final'!$K$71="Muy Alta",'Mapa final'!$O$71="Moderado"),CONCATENATE("R",'Mapa final'!$A$71),"")</f>
        <v/>
      </c>
      <c r="Y12" s="329"/>
      <c r="Z12" s="329" t="str">
        <f>IF(AND('Mapa final'!$K$77="Muy Alta",'Mapa final'!$O$77="Moderado"),CONCATENATE("R",'Mapa final'!$A$77),"")</f>
        <v/>
      </c>
      <c r="AA12" s="330"/>
      <c r="AB12" s="333" t="str">
        <f>IF(AND('Mapa final'!$K$65="Muy Alta",'Mapa final'!$O$65="Mayor"),CONCATENATE("R",'Mapa final'!$A$65),"")</f>
        <v/>
      </c>
      <c r="AC12" s="329"/>
      <c r="AD12" s="329" t="str">
        <f>IF(AND('Mapa final'!$K$71="Muy Alta",'Mapa final'!$O$71="Mayor"),CONCATENATE("R",'Mapa final'!$A$71),"")</f>
        <v/>
      </c>
      <c r="AE12" s="329"/>
      <c r="AF12" s="329" t="str">
        <f>IF(AND('Mapa final'!$K$77="Muy Alta",'Mapa final'!$O$77="Mayor"),CONCATENATE("R",'Mapa final'!$A$77),"")</f>
        <v/>
      </c>
      <c r="AG12" s="330"/>
      <c r="AH12" s="340" t="str">
        <f>IF(AND('Mapa final'!$K$65="Muy Alta",'Mapa final'!$O$65="Catastrófico"),CONCATENATE("R",'Mapa final'!$A$65),"")</f>
        <v/>
      </c>
      <c r="AI12" s="341"/>
      <c r="AJ12" s="341" t="str">
        <f>IF(AND('Mapa final'!$K$71="Muy Alta",'Mapa final'!$O$71="Catastrófico"),CONCATENATE("R",'Mapa final'!$A$71),"")</f>
        <v/>
      </c>
      <c r="AK12" s="341"/>
      <c r="AL12" s="341" t="str">
        <f>IF(AND('Mapa final'!$K$77="Muy Alta",'Mapa final'!$O$77="Catastrófico"),CONCATENATE("R",'Mapa final'!$A$77),"")</f>
        <v/>
      </c>
      <c r="AM12" s="342"/>
      <c r="AN12" s="82"/>
      <c r="AO12" s="287"/>
      <c r="AP12" s="288"/>
      <c r="AQ12" s="288"/>
      <c r="AR12" s="288"/>
      <c r="AS12" s="288"/>
      <c r="AT12" s="289"/>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282"/>
      <c r="C13" s="282"/>
      <c r="D13" s="283"/>
      <c r="E13" s="326"/>
      <c r="F13" s="327"/>
      <c r="G13" s="327"/>
      <c r="H13" s="327"/>
      <c r="I13" s="328"/>
      <c r="J13" s="333"/>
      <c r="K13" s="329"/>
      <c r="L13" s="329"/>
      <c r="M13" s="329"/>
      <c r="N13" s="329"/>
      <c r="O13" s="330"/>
      <c r="P13" s="333"/>
      <c r="Q13" s="329"/>
      <c r="R13" s="329"/>
      <c r="S13" s="329"/>
      <c r="T13" s="329"/>
      <c r="U13" s="330"/>
      <c r="V13" s="333"/>
      <c r="W13" s="329"/>
      <c r="X13" s="329"/>
      <c r="Y13" s="329"/>
      <c r="Z13" s="329"/>
      <c r="AA13" s="330"/>
      <c r="AB13" s="333"/>
      <c r="AC13" s="329"/>
      <c r="AD13" s="329"/>
      <c r="AE13" s="329"/>
      <c r="AF13" s="329"/>
      <c r="AG13" s="330"/>
      <c r="AH13" s="343"/>
      <c r="AI13" s="344"/>
      <c r="AJ13" s="344"/>
      <c r="AK13" s="344"/>
      <c r="AL13" s="344"/>
      <c r="AM13" s="345"/>
      <c r="AN13" s="82"/>
      <c r="AO13" s="290"/>
      <c r="AP13" s="291"/>
      <c r="AQ13" s="291"/>
      <c r="AR13" s="291"/>
      <c r="AS13" s="291"/>
      <c r="AT13" s="29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282"/>
      <c r="C14" s="282"/>
      <c r="D14" s="283"/>
      <c r="E14" s="320" t="s">
        <v>107</v>
      </c>
      <c r="F14" s="321"/>
      <c r="G14" s="321"/>
      <c r="H14" s="321"/>
      <c r="I14" s="321"/>
      <c r="J14" s="355" t="str">
        <f>IF(AND('Mapa final'!$K$11="Alta",'Mapa final'!$O$11="Leve"),CONCATENATE("R",'Mapa final'!$A$11),"")</f>
        <v/>
      </c>
      <c r="K14" s="356"/>
      <c r="L14" s="356" t="str">
        <f>IF(AND('Mapa final'!$K$17="Alta",'Mapa final'!$O$17="Leve"),CONCATENATE("R",'Mapa final'!$A$17),"")</f>
        <v/>
      </c>
      <c r="M14" s="356"/>
      <c r="N14" s="356" t="str">
        <f>IF(AND('Mapa final'!$K$23="Alta",'Mapa final'!$O$23="Leve"),CONCATENATE("R",'Mapa final'!$A$23),"")</f>
        <v/>
      </c>
      <c r="O14" s="357"/>
      <c r="P14" s="355" t="str">
        <f>IF(AND('Mapa final'!$K$11="Alta",'Mapa final'!$O$11="Menor"),CONCATENATE("R",'Mapa final'!$A$11),"")</f>
        <v/>
      </c>
      <c r="Q14" s="356"/>
      <c r="R14" s="356" t="str">
        <f>IF(AND('Mapa final'!$K$17="Alta",'Mapa final'!$O$17="Menor"),CONCATENATE("R",'Mapa final'!$A$17),"")</f>
        <v/>
      </c>
      <c r="S14" s="356"/>
      <c r="T14" s="356" t="str">
        <f>IF(AND('Mapa final'!$K$23="Alta",'Mapa final'!$O$23="Menor"),CONCATENATE("R",'Mapa final'!$A$23),"")</f>
        <v/>
      </c>
      <c r="U14" s="357"/>
      <c r="V14" s="331" t="str">
        <f>IF(AND('Mapa final'!$K$11="Alta",'Mapa final'!$O$11="Moderado"),CONCATENATE("R",'Mapa final'!$A$11),"")</f>
        <v/>
      </c>
      <c r="W14" s="332"/>
      <c r="X14" s="332" t="str">
        <f>IF(AND('Mapa final'!$K$17="Alta",'Mapa final'!$O$17="Moderado"),CONCATENATE("R",'Mapa final'!$A$17),"")</f>
        <v/>
      </c>
      <c r="Y14" s="332"/>
      <c r="Z14" s="332" t="str">
        <f>IF(AND('Mapa final'!$K$23="Alta",'Mapa final'!$O$23="Moderado"),CONCATENATE("R",'Mapa final'!$A$23),"")</f>
        <v/>
      </c>
      <c r="AA14" s="334"/>
      <c r="AB14" s="331" t="str">
        <f>IF(AND('Mapa final'!$K$11="Alta",'Mapa final'!$O$11="Mayor"),CONCATENATE("R",'Mapa final'!$A$11),"")</f>
        <v/>
      </c>
      <c r="AC14" s="332"/>
      <c r="AD14" s="332" t="str">
        <f>IF(AND('Mapa final'!$K$17="Alta",'Mapa final'!$O$17="Mayor"),CONCATENATE("R",'Mapa final'!$A$17),"")</f>
        <v/>
      </c>
      <c r="AE14" s="332"/>
      <c r="AF14" s="332" t="str">
        <f>IF(AND('Mapa final'!$K$23="Alta",'Mapa final'!$O$23="Mayor"),CONCATENATE("R",'Mapa final'!$A$23),"")</f>
        <v/>
      </c>
      <c r="AG14" s="334"/>
      <c r="AH14" s="346" t="str">
        <f>IF(AND('Mapa final'!$K$11="Alta",'Mapa final'!$O$11="Catastrófico"),CONCATENATE("R",'Mapa final'!$A$11),"")</f>
        <v/>
      </c>
      <c r="AI14" s="347"/>
      <c r="AJ14" s="347" t="str">
        <f>IF(AND('Mapa final'!$K$17="Alta",'Mapa final'!$O$17="Catastrófico"),CONCATENATE("R",'Mapa final'!$A$17),"")</f>
        <v/>
      </c>
      <c r="AK14" s="347"/>
      <c r="AL14" s="347" t="str">
        <f>IF(AND('Mapa final'!$K$23="Alta",'Mapa final'!$O$23="Catastrófico"),CONCATENATE("R",'Mapa final'!$A$23),"")</f>
        <v/>
      </c>
      <c r="AM14" s="348"/>
      <c r="AN14" s="82"/>
      <c r="AO14" s="293" t="s">
        <v>77</v>
      </c>
      <c r="AP14" s="294"/>
      <c r="AQ14" s="294"/>
      <c r="AR14" s="294"/>
      <c r="AS14" s="294"/>
      <c r="AT14" s="295"/>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282"/>
      <c r="C15" s="282"/>
      <c r="D15" s="283"/>
      <c r="E15" s="323"/>
      <c r="F15" s="324"/>
      <c r="G15" s="324"/>
      <c r="H15" s="324"/>
      <c r="I15" s="324"/>
      <c r="J15" s="349"/>
      <c r="K15" s="350"/>
      <c r="L15" s="350"/>
      <c r="M15" s="350"/>
      <c r="N15" s="350"/>
      <c r="O15" s="351"/>
      <c r="P15" s="349"/>
      <c r="Q15" s="350"/>
      <c r="R15" s="350"/>
      <c r="S15" s="350"/>
      <c r="T15" s="350"/>
      <c r="U15" s="351"/>
      <c r="V15" s="333"/>
      <c r="W15" s="329"/>
      <c r="X15" s="329"/>
      <c r="Y15" s="329"/>
      <c r="Z15" s="329"/>
      <c r="AA15" s="330"/>
      <c r="AB15" s="333"/>
      <c r="AC15" s="329"/>
      <c r="AD15" s="329"/>
      <c r="AE15" s="329"/>
      <c r="AF15" s="329"/>
      <c r="AG15" s="330"/>
      <c r="AH15" s="340"/>
      <c r="AI15" s="341"/>
      <c r="AJ15" s="341"/>
      <c r="AK15" s="341"/>
      <c r="AL15" s="341"/>
      <c r="AM15" s="342"/>
      <c r="AN15" s="82"/>
      <c r="AO15" s="296"/>
      <c r="AP15" s="297"/>
      <c r="AQ15" s="297"/>
      <c r="AR15" s="297"/>
      <c r="AS15" s="297"/>
      <c r="AT15" s="298"/>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282"/>
      <c r="C16" s="282"/>
      <c r="D16" s="283"/>
      <c r="E16" s="323"/>
      <c r="F16" s="324"/>
      <c r="G16" s="324"/>
      <c r="H16" s="324"/>
      <c r="I16" s="324"/>
      <c r="J16" s="349" t="str">
        <f>IF(AND('Mapa final'!$K$29="Alta",'Mapa final'!$O$29="Leve"),CONCATENATE("R",'Mapa final'!$A$29),"")</f>
        <v/>
      </c>
      <c r="K16" s="350"/>
      <c r="L16" s="350" t="str">
        <f>IF(AND('Mapa final'!$K$35="Alta",'Mapa final'!$O$35="Leve"),CONCATENATE("R",'Mapa final'!$A$35),"")</f>
        <v/>
      </c>
      <c r="M16" s="350"/>
      <c r="N16" s="350" t="str">
        <f>IF(AND('Mapa final'!$K$41="Alta",'Mapa final'!$O$41="Leve"),CONCATENATE("R",'Mapa final'!$A$41),"")</f>
        <v/>
      </c>
      <c r="O16" s="351"/>
      <c r="P16" s="349" t="str">
        <f>IF(AND('Mapa final'!$K$29="Alta",'Mapa final'!$O$29="Menor"),CONCATENATE("R",'Mapa final'!$A$29),"")</f>
        <v/>
      </c>
      <c r="Q16" s="350"/>
      <c r="R16" s="350" t="str">
        <f>IF(AND('Mapa final'!$K$35="Alta",'Mapa final'!$O$35="Menor"),CONCATENATE("R",'Mapa final'!$A$35),"")</f>
        <v/>
      </c>
      <c r="S16" s="350"/>
      <c r="T16" s="350" t="str">
        <f>IF(AND('Mapa final'!$K$41="Alta",'Mapa final'!$O$41="Menor"),CONCATENATE("R",'Mapa final'!$A$41),"")</f>
        <v/>
      </c>
      <c r="U16" s="351"/>
      <c r="V16" s="333" t="str">
        <f>IF(AND('Mapa final'!$K$29="Alta",'Mapa final'!$O$29="Moderado"),CONCATENATE("R",'Mapa final'!$A$29),"")</f>
        <v/>
      </c>
      <c r="W16" s="329"/>
      <c r="X16" s="329" t="str">
        <f>IF(AND('Mapa final'!$K$35="Alta",'Mapa final'!$O$35="Moderado"),CONCATENATE("R",'Mapa final'!$A$35),"")</f>
        <v/>
      </c>
      <c r="Y16" s="329"/>
      <c r="Z16" s="329" t="str">
        <f>IF(AND('Mapa final'!$K$41="Alta",'Mapa final'!$O$41="Moderado"),CONCATENATE("R",'Mapa final'!$A$41),"")</f>
        <v/>
      </c>
      <c r="AA16" s="330"/>
      <c r="AB16" s="333" t="str">
        <f>IF(AND('Mapa final'!$K$29="Alta",'Mapa final'!$O$29="Mayor"),CONCATENATE("R",'Mapa final'!$A$29),"")</f>
        <v/>
      </c>
      <c r="AC16" s="329"/>
      <c r="AD16" s="329" t="str">
        <f>IF(AND('Mapa final'!$K$35="Alta",'Mapa final'!$O$35="Mayor"),CONCATENATE("R",'Mapa final'!$A$35),"")</f>
        <v/>
      </c>
      <c r="AE16" s="329"/>
      <c r="AF16" s="329" t="str">
        <f>IF(AND('Mapa final'!$K$41="Alta",'Mapa final'!$O$41="Mayor"),CONCATENATE("R",'Mapa final'!$A$41),"")</f>
        <v/>
      </c>
      <c r="AG16" s="330"/>
      <c r="AH16" s="340" t="str">
        <f>IF(AND('Mapa final'!$K$29="Alta",'Mapa final'!$O$29="Catastrófico"),CONCATENATE("R",'Mapa final'!$A$29),"")</f>
        <v/>
      </c>
      <c r="AI16" s="341"/>
      <c r="AJ16" s="341" t="str">
        <f>IF(AND('Mapa final'!$K$35="Alta",'Mapa final'!$O$35="Catastrófico"),CONCATENATE("R",'Mapa final'!$A$35),"")</f>
        <v/>
      </c>
      <c r="AK16" s="341"/>
      <c r="AL16" s="341" t="str">
        <f>IF(AND('Mapa final'!$K$41="Alta",'Mapa final'!$O$41="Catastrófico"),CONCATENATE("R",'Mapa final'!$A$41),"")</f>
        <v/>
      </c>
      <c r="AM16" s="342"/>
      <c r="AN16" s="82"/>
      <c r="AO16" s="296"/>
      <c r="AP16" s="297"/>
      <c r="AQ16" s="297"/>
      <c r="AR16" s="297"/>
      <c r="AS16" s="297"/>
      <c r="AT16" s="298"/>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282"/>
      <c r="C17" s="282"/>
      <c r="D17" s="283"/>
      <c r="E17" s="323"/>
      <c r="F17" s="324"/>
      <c r="G17" s="324"/>
      <c r="H17" s="324"/>
      <c r="I17" s="324"/>
      <c r="J17" s="349"/>
      <c r="K17" s="350"/>
      <c r="L17" s="350"/>
      <c r="M17" s="350"/>
      <c r="N17" s="350"/>
      <c r="O17" s="351"/>
      <c r="P17" s="349"/>
      <c r="Q17" s="350"/>
      <c r="R17" s="350"/>
      <c r="S17" s="350"/>
      <c r="T17" s="350"/>
      <c r="U17" s="351"/>
      <c r="V17" s="333"/>
      <c r="W17" s="329"/>
      <c r="X17" s="329"/>
      <c r="Y17" s="329"/>
      <c r="Z17" s="329"/>
      <c r="AA17" s="330"/>
      <c r="AB17" s="333"/>
      <c r="AC17" s="329"/>
      <c r="AD17" s="329"/>
      <c r="AE17" s="329"/>
      <c r="AF17" s="329"/>
      <c r="AG17" s="330"/>
      <c r="AH17" s="340"/>
      <c r="AI17" s="341"/>
      <c r="AJ17" s="341"/>
      <c r="AK17" s="341"/>
      <c r="AL17" s="341"/>
      <c r="AM17" s="342"/>
      <c r="AN17" s="82"/>
      <c r="AO17" s="296"/>
      <c r="AP17" s="297"/>
      <c r="AQ17" s="297"/>
      <c r="AR17" s="297"/>
      <c r="AS17" s="297"/>
      <c r="AT17" s="298"/>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282"/>
      <c r="C18" s="282"/>
      <c r="D18" s="283"/>
      <c r="E18" s="323"/>
      <c r="F18" s="324"/>
      <c r="G18" s="324"/>
      <c r="H18" s="324"/>
      <c r="I18" s="324"/>
      <c r="J18" s="349" t="str">
        <f>IF(AND('Mapa final'!$K$47="Alta",'Mapa final'!$O$47="Leve"),CONCATENATE("R",'Mapa final'!$A$47),"")</f>
        <v/>
      </c>
      <c r="K18" s="350"/>
      <c r="L18" s="350" t="str">
        <f>IF(AND('Mapa final'!$K$53="Alta",'Mapa final'!$O$53="Leve"),CONCATENATE("R",'Mapa final'!$A$53),"")</f>
        <v/>
      </c>
      <c r="M18" s="350"/>
      <c r="N18" s="350" t="str">
        <f>IF(AND('Mapa final'!$K$59="Alta",'Mapa final'!$O$59="Leve"),CONCATENATE("R",'Mapa final'!$A$59),"")</f>
        <v/>
      </c>
      <c r="O18" s="351"/>
      <c r="P18" s="349" t="str">
        <f>IF(AND('Mapa final'!$K$47="Alta",'Mapa final'!$O$47="Menor"),CONCATENATE("R",'Mapa final'!$A$47),"")</f>
        <v/>
      </c>
      <c r="Q18" s="350"/>
      <c r="R18" s="350" t="str">
        <f>IF(AND('Mapa final'!$K$53="Alta",'Mapa final'!$O$53="Menor"),CONCATENATE("R",'Mapa final'!$A$53),"")</f>
        <v/>
      </c>
      <c r="S18" s="350"/>
      <c r="T18" s="350" t="str">
        <f>IF(AND('Mapa final'!$K$59="Alta",'Mapa final'!$O$59="Menor"),CONCATENATE("R",'Mapa final'!$A$59),"")</f>
        <v/>
      </c>
      <c r="U18" s="351"/>
      <c r="V18" s="333" t="str">
        <f>IF(AND('Mapa final'!$K$47="Alta",'Mapa final'!$O$47="Moderado"),CONCATENATE("R",'Mapa final'!$A$47),"")</f>
        <v/>
      </c>
      <c r="W18" s="329"/>
      <c r="X18" s="329" t="str">
        <f>IF(AND('Mapa final'!$K$53="Alta",'Mapa final'!$O$53="Moderado"),CONCATENATE("R",'Mapa final'!$A$53),"")</f>
        <v/>
      </c>
      <c r="Y18" s="329"/>
      <c r="Z18" s="329" t="str">
        <f>IF(AND('Mapa final'!$K$59="Alta",'Mapa final'!$O$59="Moderado"),CONCATENATE("R",'Mapa final'!$A$59),"")</f>
        <v/>
      </c>
      <c r="AA18" s="330"/>
      <c r="AB18" s="333" t="str">
        <f>IF(AND('Mapa final'!$K$47="Alta",'Mapa final'!$O$47="Mayor"),CONCATENATE("R",'Mapa final'!$A$47),"")</f>
        <v/>
      </c>
      <c r="AC18" s="329"/>
      <c r="AD18" s="329" t="str">
        <f>IF(AND('Mapa final'!$K$53="Alta",'Mapa final'!$O$53="Mayor"),CONCATENATE("R",'Mapa final'!$A$53),"")</f>
        <v/>
      </c>
      <c r="AE18" s="329"/>
      <c r="AF18" s="329" t="str">
        <f>IF(AND('Mapa final'!$K$59="Alta",'Mapa final'!$O$59="Mayor"),CONCATENATE("R",'Mapa final'!$A$59),"")</f>
        <v/>
      </c>
      <c r="AG18" s="330"/>
      <c r="AH18" s="340" t="str">
        <f>IF(AND('Mapa final'!$K$47="Alta",'Mapa final'!$O$47="Catastrófico"),CONCATENATE("R",'Mapa final'!$A$47),"")</f>
        <v/>
      </c>
      <c r="AI18" s="341"/>
      <c r="AJ18" s="341" t="str">
        <f>IF(AND('Mapa final'!$K$53="Alta",'Mapa final'!$O$53="Catastrófico"),CONCATENATE("R",'Mapa final'!$A$53),"")</f>
        <v/>
      </c>
      <c r="AK18" s="341"/>
      <c r="AL18" s="341" t="str">
        <f>IF(AND('Mapa final'!$K$59="Alta",'Mapa final'!$O$59="Catastrófico"),CONCATENATE("R",'Mapa final'!$A$59),"")</f>
        <v/>
      </c>
      <c r="AM18" s="342"/>
      <c r="AN18" s="82"/>
      <c r="AO18" s="296"/>
      <c r="AP18" s="297"/>
      <c r="AQ18" s="297"/>
      <c r="AR18" s="297"/>
      <c r="AS18" s="297"/>
      <c r="AT18" s="298"/>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282"/>
      <c r="C19" s="282"/>
      <c r="D19" s="283"/>
      <c r="E19" s="323"/>
      <c r="F19" s="324"/>
      <c r="G19" s="324"/>
      <c r="H19" s="324"/>
      <c r="I19" s="324"/>
      <c r="J19" s="349"/>
      <c r="K19" s="350"/>
      <c r="L19" s="350"/>
      <c r="M19" s="350"/>
      <c r="N19" s="350"/>
      <c r="O19" s="351"/>
      <c r="P19" s="349"/>
      <c r="Q19" s="350"/>
      <c r="R19" s="350"/>
      <c r="S19" s="350"/>
      <c r="T19" s="350"/>
      <c r="U19" s="351"/>
      <c r="V19" s="333"/>
      <c r="W19" s="329"/>
      <c r="X19" s="329"/>
      <c r="Y19" s="329"/>
      <c r="Z19" s="329"/>
      <c r="AA19" s="330"/>
      <c r="AB19" s="333"/>
      <c r="AC19" s="329"/>
      <c r="AD19" s="329"/>
      <c r="AE19" s="329"/>
      <c r="AF19" s="329"/>
      <c r="AG19" s="330"/>
      <c r="AH19" s="340"/>
      <c r="AI19" s="341"/>
      <c r="AJ19" s="341"/>
      <c r="AK19" s="341"/>
      <c r="AL19" s="341"/>
      <c r="AM19" s="342"/>
      <c r="AN19" s="82"/>
      <c r="AO19" s="296"/>
      <c r="AP19" s="297"/>
      <c r="AQ19" s="297"/>
      <c r="AR19" s="297"/>
      <c r="AS19" s="297"/>
      <c r="AT19" s="298"/>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282"/>
      <c r="C20" s="282"/>
      <c r="D20" s="283"/>
      <c r="E20" s="323"/>
      <c r="F20" s="324"/>
      <c r="G20" s="324"/>
      <c r="H20" s="324"/>
      <c r="I20" s="324"/>
      <c r="J20" s="349" t="str">
        <f>IF(AND('Mapa final'!$K$65="Alta",'Mapa final'!$O$65="Leve"),CONCATENATE("R",'Mapa final'!$A$65),"")</f>
        <v/>
      </c>
      <c r="K20" s="350"/>
      <c r="L20" s="350" t="str">
        <f>IF(AND('Mapa final'!$K$71="Alta",'Mapa final'!$O$71="Leve"),CONCATENATE("R",'Mapa final'!$A$71),"")</f>
        <v/>
      </c>
      <c r="M20" s="350"/>
      <c r="N20" s="350" t="str">
        <f>IF(AND('Mapa final'!$K$77="Alta",'Mapa final'!$O$77="Leve"),CONCATENATE("R",'Mapa final'!$A$77),"")</f>
        <v/>
      </c>
      <c r="O20" s="351"/>
      <c r="P20" s="349" t="str">
        <f>IF(AND('Mapa final'!$K$65="Alta",'Mapa final'!$O$65="Menor"),CONCATENATE("R",'Mapa final'!$A$65),"")</f>
        <v/>
      </c>
      <c r="Q20" s="350"/>
      <c r="R20" s="350" t="str">
        <f>IF(AND('Mapa final'!$K$71="Alta",'Mapa final'!$O$71="Menor"),CONCATENATE("R",'Mapa final'!$A$71),"")</f>
        <v/>
      </c>
      <c r="S20" s="350"/>
      <c r="T20" s="350" t="str">
        <f>IF(AND('Mapa final'!$K$77="Alta",'Mapa final'!$O$77="Menor"),CONCATENATE("R",'Mapa final'!$A$77),"")</f>
        <v/>
      </c>
      <c r="U20" s="351"/>
      <c r="V20" s="333" t="str">
        <f>IF(AND('Mapa final'!$K$65="Alta",'Mapa final'!$O$65="Moderado"),CONCATENATE("R",'Mapa final'!$A$65),"")</f>
        <v/>
      </c>
      <c r="W20" s="329"/>
      <c r="X20" s="329" t="str">
        <f>IF(AND('Mapa final'!$K$71="Alta",'Mapa final'!$O$71="Moderado"),CONCATENATE("R",'Mapa final'!$A$71),"")</f>
        <v/>
      </c>
      <c r="Y20" s="329"/>
      <c r="Z20" s="329" t="str">
        <f>IF(AND('Mapa final'!$K$77="Alta",'Mapa final'!$O$77="Moderado"),CONCATENATE("R",'Mapa final'!$A$77),"")</f>
        <v/>
      </c>
      <c r="AA20" s="330"/>
      <c r="AB20" s="333" t="str">
        <f>IF(AND('Mapa final'!$K$65="Alta",'Mapa final'!$O$65="Mayor"),CONCATENATE("R",'Mapa final'!$A$65),"")</f>
        <v/>
      </c>
      <c r="AC20" s="329"/>
      <c r="AD20" s="329" t="str">
        <f>IF(AND('Mapa final'!$K$71="Alta",'Mapa final'!$O$71="Mayor"),CONCATENATE("R",'Mapa final'!$A$71),"")</f>
        <v/>
      </c>
      <c r="AE20" s="329"/>
      <c r="AF20" s="329" t="str">
        <f>IF(AND('Mapa final'!$K$77="Alta",'Mapa final'!$O$77="Mayor"),CONCATENATE("R",'Mapa final'!$A$77),"")</f>
        <v/>
      </c>
      <c r="AG20" s="330"/>
      <c r="AH20" s="340" t="str">
        <f>IF(AND('Mapa final'!$K$65="Alta",'Mapa final'!$O$65="Catastrófico"),CONCATENATE("R",'Mapa final'!$A$65),"")</f>
        <v/>
      </c>
      <c r="AI20" s="341"/>
      <c r="AJ20" s="341" t="str">
        <f>IF(AND('Mapa final'!$K$71="Alta",'Mapa final'!$O$71="Catastrófico"),CONCATENATE("R",'Mapa final'!$A$71),"")</f>
        <v/>
      </c>
      <c r="AK20" s="341"/>
      <c r="AL20" s="341" t="str">
        <f>IF(AND('Mapa final'!$K$77="Alta",'Mapa final'!$O$77="Catastrófico"),CONCATENATE("R",'Mapa final'!$A$77),"")</f>
        <v/>
      </c>
      <c r="AM20" s="342"/>
      <c r="AN20" s="82"/>
      <c r="AO20" s="296"/>
      <c r="AP20" s="297"/>
      <c r="AQ20" s="297"/>
      <c r="AR20" s="297"/>
      <c r="AS20" s="297"/>
      <c r="AT20" s="298"/>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282"/>
      <c r="C21" s="282"/>
      <c r="D21" s="283"/>
      <c r="E21" s="326"/>
      <c r="F21" s="327"/>
      <c r="G21" s="327"/>
      <c r="H21" s="327"/>
      <c r="I21" s="327"/>
      <c r="J21" s="352"/>
      <c r="K21" s="353"/>
      <c r="L21" s="353"/>
      <c r="M21" s="353"/>
      <c r="N21" s="353"/>
      <c r="O21" s="354"/>
      <c r="P21" s="352"/>
      <c r="Q21" s="353"/>
      <c r="R21" s="353"/>
      <c r="S21" s="353"/>
      <c r="T21" s="353"/>
      <c r="U21" s="354"/>
      <c r="V21" s="337"/>
      <c r="W21" s="338"/>
      <c r="X21" s="338"/>
      <c r="Y21" s="338"/>
      <c r="Z21" s="338"/>
      <c r="AA21" s="339"/>
      <c r="AB21" s="337"/>
      <c r="AC21" s="338"/>
      <c r="AD21" s="338"/>
      <c r="AE21" s="338"/>
      <c r="AF21" s="338"/>
      <c r="AG21" s="339"/>
      <c r="AH21" s="343"/>
      <c r="AI21" s="344"/>
      <c r="AJ21" s="344"/>
      <c r="AK21" s="344"/>
      <c r="AL21" s="344"/>
      <c r="AM21" s="345"/>
      <c r="AN21" s="82"/>
      <c r="AO21" s="299"/>
      <c r="AP21" s="300"/>
      <c r="AQ21" s="300"/>
      <c r="AR21" s="300"/>
      <c r="AS21" s="300"/>
      <c r="AT21" s="301"/>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282"/>
      <c r="C22" s="282"/>
      <c r="D22" s="283"/>
      <c r="E22" s="320" t="s">
        <v>109</v>
      </c>
      <c r="F22" s="321"/>
      <c r="G22" s="321"/>
      <c r="H22" s="321"/>
      <c r="I22" s="322"/>
      <c r="J22" s="355" t="str">
        <f>IF(AND('Mapa final'!$K$11="Media",'Mapa final'!$O$11="Leve"),CONCATENATE("R",'Mapa final'!$A$11),"")</f>
        <v/>
      </c>
      <c r="K22" s="356"/>
      <c r="L22" s="356" t="str">
        <f>IF(AND('Mapa final'!$K$17="Media",'Mapa final'!$O$17="Leve"),CONCATENATE("R",'Mapa final'!$A$17),"")</f>
        <v/>
      </c>
      <c r="M22" s="356"/>
      <c r="N22" s="356" t="str">
        <f>IF(AND('Mapa final'!$K$23="Media",'Mapa final'!$O$23="Leve"),CONCATENATE("R",'Mapa final'!$A$23),"")</f>
        <v/>
      </c>
      <c r="O22" s="357"/>
      <c r="P22" s="355" t="str">
        <f>IF(AND('Mapa final'!$K$11="Media",'Mapa final'!$O$11="Menor"),CONCATENATE("R",'Mapa final'!$A$11),"")</f>
        <v>R1</v>
      </c>
      <c r="Q22" s="356"/>
      <c r="R22" s="356" t="str">
        <f>IF(AND('Mapa final'!$K$17="Media",'Mapa final'!$O$17="Menor"),CONCATENATE("R",'Mapa final'!$A$17),"")</f>
        <v/>
      </c>
      <c r="S22" s="356"/>
      <c r="T22" s="356" t="str">
        <f>IF(AND('Mapa final'!$K$23="Media",'Mapa final'!$O$23="Menor"),CONCATENATE("R",'Mapa final'!$A$23),"")</f>
        <v/>
      </c>
      <c r="U22" s="357"/>
      <c r="V22" s="355" t="str">
        <f>IF(AND('Mapa final'!$K$11="Media",'Mapa final'!$O$11="Moderado"),CONCATENATE("R",'Mapa final'!$A$11),"")</f>
        <v/>
      </c>
      <c r="W22" s="356"/>
      <c r="X22" s="356" t="str">
        <f>IF(AND('Mapa final'!$K$17="Media",'Mapa final'!$O$17="Moderado"),CONCATENATE("R",'Mapa final'!$A$17),"")</f>
        <v/>
      </c>
      <c r="Y22" s="356"/>
      <c r="Z22" s="356" t="str">
        <f>IF(AND('Mapa final'!$K$23="Media",'Mapa final'!$O$23="Moderado"),CONCATENATE("R",'Mapa final'!$A$23),"")</f>
        <v/>
      </c>
      <c r="AA22" s="357"/>
      <c r="AB22" s="331" t="str">
        <f>IF(AND('Mapa final'!$K$11="Media",'Mapa final'!$O$11="Mayor"),CONCATENATE("R",'Mapa final'!$A$11),"")</f>
        <v/>
      </c>
      <c r="AC22" s="332"/>
      <c r="AD22" s="332" t="str">
        <f>IF(AND('Mapa final'!$K$17="Media",'Mapa final'!$O$17="Mayor"),CONCATENATE("R",'Mapa final'!$A$17),"")</f>
        <v/>
      </c>
      <c r="AE22" s="332"/>
      <c r="AF22" s="332" t="str">
        <f>IF(AND('Mapa final'!$K$23="Media",'Mapa final'!$O$23="Mayor"),CONCATENATE("R",'Mapa final'!$A$23),"")</f>
        <v/>
      </c>
      <c r="AG22" s="334"/>
      <c r="AH22" s="346" t="str">
        <f>IF(AND('Mapa final'!$K$11="Media",'Mapa final'!$O$11="Catastrófico"),CONCATENATE("R",'Mapa final'!$A$11),"")</f>
        <v/>
      </c>
      <c r="AI22" s="347"/>
      <c r="AJ22" s="347" t="str">
        <f>IF(AND('Mapa final'!$K$17="Media",'Mapa final'!$O$17="Catastrófico"),CONCATENATE("R",'Mapa final'!$A$17),"")</f>
        <v/>
      </c>
      <c r="AK22" s="347"/>
      <c r="AL22" s="347" t="str">
        <f>IF(AND('Mapa final'!$K$23="Media",'Mapa final'!$O$23="Catastrófico"),CONCATENATE("R",'Mapa final'!$A$23),"")</f>
        <v/>
      </c>
      <c r="AM22" s="348"/>
      <c r="AN22" s="82"/>
      <c r="AO22" s="302" t="s">
        <v>78</v>
      </c>
      <c r="AP22" s="303"/>
      <c r="AQ22" s="303"/>
      <c r="AR22" s="303"/>
      <c r="AS22" s="303"/>
      <c r="AT22" s="304"/>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282"/>
      <c r="C23" s="282"/>
      <c r="D23" s="283"/>
      <c r="E23" s="323"/>
      <c r="F23" s="324"/>
      <c r="G23" s="324"/>
      <c r="H23" s="324"/>
      <c r="I23" s="325"/>
      <c r="J23" s="349"/>
      <c r="K23" s="350"/>
      <c r="L23" s="350"/>
      <c r="M23" s="350"/>
      <c r="N23" s="350"/>
      <c r="O23" s="351"/>
      <c r="P23" s="349"/>
      <c r="Q23" s="350"/>
      <c r="R23" s="350"/>
      <c r="S23" s="350"/>
      <c r="T23" s="350"/>
      <c r="U23" s="351"/>
      <c r="V23" s="349"/>
      <c r="W23" s="350"/>
      <c r="X23" s="350"/>
      <c r="Y23" s="350"/>
      <c r="Z23" s="350"/>
      <c r="AA23" s="351"/>
      <c r="AB23" s="333"/>
      <c r="AC23" s="329"/>
      <c r="AD23" s="329"/>
      <c r="AE23" s="329"/>
      <c r="AF23" s="329"/>
      <c r="AG23" s="330"/>
      <c r="AH23" s="340"/>
      <c r="AI23" s="341"/>
      <c r="AJ23" s="341"/>
      <c r="AK23" s="341"/>
      <c r="AL23" s="341"/>
      <c r="AM23" s="342"/>
      <c r="AN23" s="82"/>
      <c r="AO23" s="305"/>
      <c r="AP23" s="306"/>
      <c r="AQ23" s="306"/>
      <c r="AR23" s="306"/>
      <c r="AS23" s="306"/>
      <c r="AT23" s="307"/>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282"/>
      <c r="C24" s="282"/>
      <c r="D24" s="283"/>
      <c r="E24" s="323"/>
      <c r="F24" s="324"/>
      <c r="G24" s="324"/>
      <c r="H24" s="324"/>
      <c r="I24" s="325"/>
      <c r="J24" s="349" t="str">
        <f>IF(AND('Mapa final'!$K$29="Media",'Mapa final'!$O$29="Leve"),CONCATENATE("R",'Mapa final'!$A$29),"")</f>
        <v/>
      </c>
      <c r="K24" s="350"/>
      <c r="L24" s="350" t="str">
        <f>IF(AND('Mapa final'!$K$35="Media",'Mapa final'!$O$35="Leve"),CONCATENATE("R",'Mapa final'!$A$35),"")</f>
        <v/>
      </c>
      <c r="M24" s="350"/>
      <c r="N24" s="350" t="str">
        <f>IF(AND('Mapa final'!$K$41="Media",'Mapa final'!$O$41="Leve"),CONCATENATE("R",'Mapa final'!$A$41),"")</f>
        <v/>
      </c>
      <c r="O24" s="351"/>
      <c r="P24" s="349" t="str">
        <f>IF(AND('Mapa final'!$K$29="Media",'Mapa final'!$O$29="Menor"),CONCATENATE("R",'Mapa final'!$A$29),"")</f>
        <v/>
      </c>
      <c r="Q24" s="350"/>
      <c r="R24" s="350" t="str">
        <f>IF(AND('Mapa final'!$K$35="Media",'Mapa final'!$O$35="Menor"),CONCATENATE("R",'Mapa final'!$A$35),"")</f>
        <v/>
      </c>
      <c r="S24" s="350"/>
      <c r="T24" s="350" t="str">
        <f>IF(AND('Mapa final'!$K$41="Media",'Mapa final'!$O$41="Menor"),CONCATENATE("R",'Mapa final'!$A$41),"")</f>
        <v/>
      </c>
      <c r="U24" s="351"/>
      <c r="V24" s="349" t="str">
        <f>IF(AND('Mapa final'!$K$29="Media",'Mapa final'!$O$29="Moderado"),CONCATENATE("R",'Mapa final'!$A$29),"")</f>
        <v/>
      </c>
      <c r="W24" s="350"/>
      <c r="X24" s="350" t="str">
        <f>IF(AND('Mapa final'!$K$35="Media",'Mapa final'!$O$35="Moderado"),CONCATENATE("R",'Mapa final'!$A$35),"")</f>
        <v/>
      </c>
      <c r="Y24" s="350"/>
      <c r="Z24" s="350" t="str">
        <f>IF(AND('Mapa final'!$K$41="Media",'Mapa final'!$O$41="Moderado"),CONCATENATE("R",'Mapa final'!$A$41),"")</f>
        <v/>
      </c>
      <c r="AA24" s="351"/>
      <c r="AB24" s="333" t="str">
        <f>IF(AND('Mapa final'!$K$29="Media",'Mapa final'!$O$29="Mayor"),CONCATENATE("R",'Mapa final'!$A$29),"")</f>
        <v/>
      </c>
      <c r="AC24" s="329"/>
      <c r="AD24" s="329" t="str">
        <f>IF(AND('Mapa final'!$K$35="Media",'Mapa final'!$O$35="Mayor"),CONCATENATE("R",'Mapa final'!$A$35),"")</f>
        <v/>
      </c>
      <c r="AE24" s="329"/>
      <c r="AF24" s="329" t="str">
        <f>IF(AND('Mapa final'!$K$41="Media",'Mapa final'!$O$41="Mayor"),CONCATENATE("R",'Mapa final'!$A$41),"")</f>
        <v/>
      </c>
      <c r="AG24" s="330"/>
      <c r="AH24" s="340" t="str">
        <f>IF(AND('Mapa final'!$K$29="Media",'Mapa final'!$O$29="Catastrófico"),CONCATENATE("R",'Mapa final'!$A$29),"")</f>
        <v/>
      </c>
      <c r="AI24" s="341"/>
      <c r="AJ24" s="341" t="str">
        <f>IF(AND('Mapa final'!$K$35="Media",'Mapa final'!$O$35="Catastrófico"),CONCATENATE("R",'Mapa final'!$A$35),"")</f>
        <v/>
      </c>
      <c r="AK24" s="341"/>
      <c r="AL24" s="341" t="str">
        <f>IF(AND('Mapa final'!$K$41="Media",'Mapa final'!$O$41="Catastrófico"),CONCATENATE("R",'Mapa final'!$A$41),"")</f>
        <v/>
      </c>
      <c r="AM24" s="342"/>
      <c r="AN24" s="82"/>
      <c r="AO24" s="305"/>
      <c r="AP24" s="306"/>
      <c r="AQ24" s="306"/>
      <c r="AR24" s="306"/>
      <c r="AS24" s="306"/>
      <c r="AT24" s="307"/>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282"/>
      <c r="C25" s="282"/>
      <c r="D25" s="283"/>
      <c r="E25" s="323"/>
      <c r="F25" s="324"/>
      <c r="G25" s="324"/>
      <c r="H25" s="324"/>
      <c r="I25" s="325"/>
      <c r="J25" s="349"/>
      <c r="K25" s="350"/>
      <c r="L25" s="350"/>
      <c r="M25" s="350"/>
      <c r="N25" s="350"/>
      <c r="O25" s="351"/>
      <c r="P25" s="349"/>
      <c r="Q25" s="350"/>
      <c r="R25" s="350"/>
      <c r="S25" s="350"/>
      <c r="T25" s="350"/>
      <c r="U25" s="351"/>
      <c r="V25" s="349"/>
      <c r="W25" s="350"/>
      <c r="X25" s="350"/>
      <c r="Y25" s="350"/>
      <c r="Z25" s="350"/>
      <c r="AA25" s="351"/>
      <c r="AB25" s="333"/>
      <c r="AC25" s="329"/>
      <c r="AD25" s="329"/>
      <c r="AE25" s="329"/>
      <c r="AF25" s="329"/>
      <c r="AG25" s="330"/>
      <c r="AH25" s="340"/>
      <c r="AI25" s="341"/>
      <c r="AJ25" s="341"/>
      <c r="AK25" s="341"/>
      <c r="AL25" s="341"/>
      <c r="AM25" s="342"/>
      <c r="AN25" s="82"/>
      <c r="AO25" s="305"/>
      <c r="AP25" s="306"/>
      <c r="AQ25" s="306"/>
      <c r="AR25" s="306"/>
      <c r="AS25" s="306"/>
      <c r="AT25" s="307"/>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282"/>
      <c r="C26" s="282"/>
      <c r="D26" s="283"/>
      <c r="E26" s="323"/>
      <c r="F26" s="324"/>
      <c r="G26" s="324"/>
      <c r="H26" s="324"/>
      <c r="I26" s="325"/>
      <c r="J26" s="349" t="str">
        <f>IF(AND('Mapa final'!$K$47="Media",'Mapa final'!$O$47="Leve"),CONCATENATE("R",'Mapa final'!$A$47),"")</f>
        <v/>
      </c>
      <c r="K26" s="350"/>
      <c r="L26" s="350" t="str">
        <f>IF(AND('Mapa final'!$K$53="Media",'Mapa final'!$O$53="Leve"),CONCATENATE("R",'Mapa final'!$A$53),"")</f>
        <v/>
      </c>
      <c r="M26" s="350"/>
      <c r="N26" s="350" t="str">
        <f>IF(AND('Mapa final'!$K$59="Media",'Mapa final'!$O$59="Leve"),CONCATENATE("R",'Mapa final'!$A$59),"")</f>
        <v/>
      </c>
      <c r="O26" s="351"/>
      <c r="P26" s="349" t="str">
        <f>IF(AND('Mapa final'!$K$47="Media",'Mapa final'!$O$47="Menor"),CONCATENATE("R",'Mapa final'!$A$47),"")</f>
        <v/>
      </c>
      <c r="Q26" s="350"/>
      <c r="R26" s="350" t="str">
        <f>IF(AND('Mapa final'!$K$53="Media",'Mapa final'!$O$53="Menor"),CONCATENATE("R",'Mapa final'!$A$53),"")</f>
        <v/>
      </c>
      <c r="S26" s="350"/>
      <c r="T26" s="350" t="str">
        <f>IF(AND('Mapa final'!$K$59="Media",'Mapa final'!$O$59="Menor"),CONCATENATE("R",'Mapa final'!$A$59),"")</f>
        <v/>
      </c>
      <c r="U26" s="351"/>
      <c r="V26" s="349" t="str">
        <f>IF(AND('Mapa final'!$K$47="Media",'Mapa final'!$O$47="Moderado"),CONCATENATE("R",'Mapa final'!$A$47),"")</f>
        <v/>
      </c>
      <c r="W26" s="350"/>
      <c r="X26" s="350" t="str">
        <f>IF(AND('Mapa final'!$K$53="Media",'Mapa final'!$O$53="Moderado"),CONCATENATE("R",'Mapa final'!$A$53),"")</f>
        <v/>
      </c>
      <c r="Y26" s="350"/>
      <c r="Z26" s="350" t="str">
        <f>IF(AND('Mapa final'!$K$59="Media",'Mapa final'!$O$59="Moderado"),CONCATENATE("R",'Mapa final'!$A$59),"")</f>
        <v/>
      </c>
      <c r="AA26" s="351"/>
      <c r="AB26" s="333" t="str">
        <f>IF(AND('Mapa final'!$K$47="Media",'Mapa final'!$O$47="Mayor"),CONCATENATE("R",'Mapa final'!$A$47),"")</f>
        <v/>
      </c>
      <c r="AC26" s="329"/>
      <c r="AD26" s="329" t="str">
        <f>IF(AND('Mapa final'!$K$53="Media",'Mapa final'!$O$53="Mayor"),CONCATENATE("R",'Mapa final'!$A$53),"")</f>
        <v/>
      </c>
      <c r="AE26" s="329"/>
      <c r="AF26" s="329" t="str">
        <f>IF(AND('Mapa final'!$K$59="Media",'Mapa final'!$O$59="Mayor"),CONCATENATE("R",'Mapa final'!$A$59),"")</f>
        <v/>
      </c>
      <c r="AG26" s="330"/>
      <c r="AH26" s="340" t="str">
        <f>IF(AND('Mapa final'!$K$47="Media",'Mapa final'!$O$47="Catastrófico"),CONCATENATE("R",'Mapa final'!$A$47),"")</f>
        <v/>
      </c>
      <c r="AI26" s="341"/>
      <c r="AJ26" s="341" t="str">
        <f>IF(AND('Mapa final'!$K$53="Media",'Mapa final'!$O$53="Catastrófico"),CONCATENATE("R",'Mapa final'!$A$53),"")</f>
        <v/>
      </c>
      <c r="AK26" s="341"/>
      <c r="AL26" s="341" t="str">
        <f>IF(AND('Mapa final'!$K$59="Media",'Mapa final'!$O$59="Catastrófico"),CONCATENATE("R",'Mapa final'!$A$59),"")</f>
        <v/>
      </c>
      <c r="AM26" s="342"/>
      <c r="AN26" s="82"/>
      <c r="AO26" s="305"/>
      <c r="AP26" s="306"/>
      <c r="AQ26" s="306"/>
      <c r="AR26" s="306"/>
      <c r="AS26" s="306"/>
      <c r="AT26" s="307"/>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282"/>
      <c r="C27" s="282"/>
      <c r="D27" s="283"/>
      <c r="E27" s="323"/>
      <c r="F27" s="324"/>
      <c r="G27" s="324"/>
      <c r="H27" s="324"/>
      <c r="I27" s="325"/>
      <c r="J27" s="349"/>
      <c r="K27" s="350"/>
      <c r="L27" s="350"/>
      <c r="M27" s="350"/>
      <c r="N27" s="350"/>
      <c r="O27" s="351"/>
      <c r="P27" s="349"/>
      <c r="Q27" s="350"/>
      <c r="R27" s="350"/>
      <c r="S27" s="350"/>
      <c r="T27" s="350"/>
      <c r="U27" s="351"/>
      <c r="V27" s="349"/>
      <c r="W27" s="350"/>
      <c r="X27" s="350"/>
      <c r="Y27" s="350"/>
      <c r="Z27" s="350"/>
      <c r="AA27" s="351"/>
      <c r="AB27" s="333"/>
      <c r="AC27" s="329"/>
      <c r="AD27" s="329"/>
      <c r="AE27" s="329"/>
      <c r="AF27" s="329"/>
      <c r="AG27" s="330"/>
      <c r="AH27" s="340"/>
      <c r="AI27" s="341"/>
      <c r="AJ27" s="341"/>
      <c r="AK27" s="341"/>
      <c r="AL27" s="341"/>
      <c r="AM27" s="342"/>
      <c r="AN27" s="82"/>
      <c r="AO27" s="305"/>
      <c r="AP27" s="306"/>
      <c r="AQ27" s="306"/>
      <c r="AR27" s="306"/>
      <c r="AS27" s="306"/>
      <c r="AT27" s="307"/>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282"/>
      <c r="C28" s="282"/>
      <c r="D28" s="283"/>
      <c r="E28" s="323"/>
      <c r="F28" s="324"/>
      <c r="G28" s="324"/>
      <c r="H28" s="324"/>
      <c r="I28" s="325"/>
      <c r="J28" s="349" t="str">
        <f>IF(AND('Mapa final'!$K$65="Media",'Mapa final'!$O$65="Leve"),CONCATENATE("R",'Mapa final'!$A$65),"")</f>
        <v/>
      </c>
      <c r="K28" s="350"/>
      <c r="L28" s="350" t="str">
        <f>IF(AND('Mapa final'!$K$71="Media",'Mapa final'!$O$71="Leve"),CONCATENATE("R",'Mapa final'!$A$71),"")</f>
        <v/>
      </c>
      <c r="M28" s="350"/>
      <c r="N28" s="350" t="str">
        <f>IF(AND('Mapa final'!$K$77="Media",'Mapa final'!$O$77="Leve"),CONCATENATE("R",'Mapa final'!$A$77),"")</f>
        <v/>
      </c>
      <c r="O28" s="351"/>
      <c r="P28" s="349" t="str">
        <f>IF(AND('Mapa final'!$K$65="Media",'Mapa final'!$O$65="Menor"),CONCATENATE("R",'Mapa final'!$A$65),"")</f>
        <v/>
      </c>
      <c r="Q28" s="350"/>
      <c r="R28" s="350" t="str">
        <f>IF(AND('Mapa final'!$K$71="Media",'Mapa final'!$O$71="Menor"),CONCATENATE("R",'Mapa final'!$A$71),"")</f>
        <v/>
      </c>
      <c r="S28" s="350"/>
      <c r="T28" s="350" t="str">
        <f>IF(AND('Mapa final'!$K$77="Media",'Mapa final'!$O$77="Menor"),CONCATENATE("R",'Mapa final'!$A$77),"")</f>
        <v/>
      </c>
      <c r="U28" s="351"/>
      <c r="V28" s="349" t="str">
        <f>IF(AND('Mapa final'!$K$65="Media",'Mapa final'!$O$65="Moderado"),CONCATENATE("R",'Mapa final'!$A$65),"")</f>
        <v/>
      </c>
      <c r="W28" s="350"/>
      <c r="X28" s="350" t="str">
        <f>IF(AND('Mapa final'!$K$71="Media",'Mapa final'!$O$71="Moderado"),CONCATENATE("R",'Mapa final'!$A$71),"")</f>
        <v/>
      </c>
      <c r="Y28" s="350"/>
      <c r="Z28" s="350" t="str">
        <f>IF(AND('Mapa final'!$K$77="Media",'Mapa final'!$O$77="Moderado"),CONCATENATE("R",'Mapa final'!$A$77),"")</f>
        <v/>
      </c>
      <c r="AA28" s="351"/>
      <c r="AB28" s="333" t="str">
        <f>IF(AND('Mapa final'!$K$65="Media",'Mapa final'!$O$65="Mayor"),CONCATENATE("R",'Mapa final'!$A$65),"")</f>
        <v/>
      </c>
      <c r="AC28" s="329"/>
      <c r="AD28" s="329" t="str">
        <f>IF(AND('Mapa final'!$K$71="Media",'Mapa final'!$O$71="Mayor"),CONCATENATE("R",'Mapa final'!$A$71),"")</f>
        <v/>
      </c>
      <c r="AE28" s="329"/>
      <c r="AF28" s="329" t="str">
        <f>IF(AND('Mapa final'!$K$77="Media",'Mapa final'!$O$77="Mayor"),CONCATENATE("R",'Mapa final'!$A$77),"")</f>
        <v/>
      </c>
      <c r="AG28" s="330"/>
      <c r="AH28" s="340" t="str">
        <f>IF(AND('Mapa final'!$K$65="Media",'Mapa final'!$O$65="Catastrófico"),CONCATENATE("R",'Mapa final'!$A$65),"")</f>
        <v/>
      </c>
      <c r="AI28" s="341"/>
      <c r="AJ28" s="341" t="str">
        <f>IF(AND('Mapa final'!$K$71="Media",'Mapa final'!$O$71="Catastrófico"),CONCATENATE("R",'Mapa final'!$A$71),"")</f>
        <v/>
      </c>
      <c r="AK28" s="341"/>
      <c r="AL28" s="341" t="str">
        <f>IF(AND('Mapa final'!$K$77="Media",'Mapa final'!$O$77="Catastrófico"),CONCATENATE("R",'Mapa final'!$A$77),"")</f>
        <v/>
      </c>
      <c r="AM28" s="342"/>
      <c r="AN28" s="82"/>
      <c r="AO28" s="305"/>
      <c r="AP28" s="306"/>
      <c r="AQ28" s="306"/>
      <c r="AR28" s="306"/>
      <c r="AS28" s="306"/>
      <c r="AT28" s="307"/>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282"/>
      <c r="C29" s="282"/>
      <c r="D29" s="283"/>
      <c r="E29" s="326"/>
      <c r="F29" s="327"/>
      <c r="G29" s="327"/>
      <c r="H29" s="327"/>
      <c r="I29" s="328"/>
      <c r="J29" s="349"/>
      <c r="K29" s="350"/>
      <c r="L29" s="350"/>
      <c r="M29" s="350"/>
      <c r="N29" s="350"/>
      <c r="O29" s="351"/>
      <c r="P29" s="352"/>
      <c r="Q29" s="353"/>
      <c r="R29" s="353"/>
      <c r="S29" s="353"/>
      <c r="T29" s="353"/>
      <c r="U29" s="354"/>
      <c r="V29" s="352"/>
      <c r="W29" s="353"/>
      <c r="X29" s="353"/>
      <c r="Y29" s="353"/>
      <c r="Z29" s="353"/>
      <c r="AA29" s="354"/>
      <c r="AB29" s="337"/>
      <c r="AC29" s="338"/>
      <c r="AD29" s="338"/>
      <c r="AE29" s="338"/>
      <c r="AF29" s="338"/>
      <c r="AG29" s="339"/>
      <c r="AH29" s="343"/>
      <c r="AI29" s="344"/>
      <c r="AJ29" s="344"/>
      <c r="AK29" s="344"/>
      <c r="AL29" s="344"/>
      <c r="AM29" s="345"/>
      <c r="AN29" s="82"/>
      <c r="AO29" s="308"/>
      <c r="AP29" s="309"/>
      <c r="AQ29" s="309"/>
      <c r="AR29" s="309"/>
      <c r="AS29" s="309"/>
      <c r="AT29" s="31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282"/>
      <c r="C30" s="282"/>
      <c r="D30" s="283"/>
      <c r="E30" s="320" t="s">
        <v>106</v>
      </c>
      <c r="F30" s="321"/>
      <c r="G30" s="321"/>
      <c r="H30" s="321"/>
      <c r="I30" s="321"/>
      <c r="J30" s="364" t="str">
        <f>IF(AND('Mapa final'!$K$11="Baja",'Mapa final'!$O$11="Leve"),CONCATENATE("R",'Mapa final'!$A$11),"")</f>
        <v/>
      </c>
      <c r="K30" s="365"/>
      <c r="L30" s="365" t="str">
        <f>IF(AND('Mapa final'!$K$17="Baja",'Mapa final'!$O$17="Leve"),CONCATENATE("R",'Mapa final'!$A$17),"")</f>
        <v/>
      </c>
      <c r="M30" s="365"/>
      <c r="N30" s="365" t="str">
        <f>IF(AND('Mapa final'!$K$23="Baja",'Mapa final'!$O$23="Leve"),CONCATENATE("R",'Mapa final'!$A$23),"")</f>
        <v/>
      </c>
      <c r="O30" s="366"/>
      <c r="P30" s="356" t="str">
        <f>IF(AND('Mapa final'!$K$11="Baja",'Mapa final'!$O$11="Menor"),CONCATENATE("R",'Mapa final'!$A$11),"")</f>
        <v/>
      </c>
      <c r="Q30" s="356"/>
      <c r="R30" s="356" t="str">
        <f>IF(AND('Mapa final'!$K$17="Baja",'Mapa final'!$O$17="Menor"),CONCATENATE("R",'Mapa final'!$A$17),"")</f>
        <v>R2</v>
      </c>
      <c r="S30" s="356"/>
      <c r="T30" s="356" t="str">
        <f>IF(AND('Mapa final'!$K$23="Baja",'Mapa final'!$O$23="Menor"),CONCATENATE("R",'Mapa final'!$A$23),"")</f>
        <v/>
      </c>
      <c r="U30" s="357"/>
      <c r="V30" s="355" t="str">
        <f>IF(AND('Mapa final'!$K$11="Baja",'Mapa final'!$O$11="Moderado"),CONCATENATE("R",'Mapa final'!$A$11),"")</f>
        <v/>
      </c>
      <c r="W30" s="356"/>
      <c r="X30" s="356" t="str">
        <f>IF(AND('Mapa final'!$K$17="Baja",'Mapa final'!$O$17="Moderado"),CONCATENATE("R",'Mapa final'!$A$17),"")</f>
        <v/>
      </c>
      <c r="Y30" s="356"/>
      <c r="Z30" s="356" t="str">
        <f>IF(AND('Mapa final'!$K$23="Baja",'Mapa final'!$O$23="Moderado"),CONCATENATE("R",'Mapa final'!$A$23),"")</f>
        <v/>
      </c>
      <c r="AA30" s="357"/>
      <c r="AB30" s="331" t="str">
        <f>IF(AND('Mapa final'!$K$11="Baja",'Mapa final'!$O$11="Mayor"),CONCATENATE("R",'Mapa final'!$A$11),"")</f>
        <v/>
      </c>
      <c r="AC30" s="332"/>
      <c r="AD30" s="332" t="str">
        <f>IF(AND('Mapa final'!$K$17="Baja",'Mapa final'!$O$17="Mayor"),CONCATENATE("R",'Mapa final'!$A$17),"")</f>
        <v/>
      </c>
      <c r="AE30" s="332"/>
      <c r="AF30" s="332" t="str">
        <f>IF(AND('Mapa final'!$K$23="Baja",'Mapa final'!$O$23="Mayor"),CONCATENATE("R",'Mapa final'!$A$23),"")</f>
        <v/>
      </c>
      <c r="AG30" s="334"/>
      <c r="AH30" s="346" t="str">
        <f>IF(AND('Mapa final'!$K$11="Baja",'Mapa final'!$O$11="Catastrófico"),CONCATENATE("R",'Mapa final'!$A$11),"")</f>
        <v/>
      </c>
      <c r="AI30" s="347"/>
      <c r="AJ30" s="347" t="str">
        <f>IF(AND('Mapa final'!$K$17="Baja",'Mapa final'!$O$17="Catastrófico"),CONCATENATE("R",'Mapa final'!$A$17),"")</f>
        <v/>
      </c>
      <c r="AK30" s="347"/>
      <c r="AL30" s="347" t="str">
        <f>IF(AND('Mapa final'!$K$23="Baja",'Mapa final'!$O$23="Catastrófico"),CONCATENATE("R",'Mapa final'!$A$23),"")</f>
        <v/>
      </c>
      <c r="AM30" s="348"/>
      <c r="AN30" s="82"/>
      <c r="AO30" s="311" t="s">
        <v>79</v>
      </c>
      <c r="AP30" s="312"/>
      <c r="AQ30" s="312"/>
      <c r="AR30" s="312"/>
      <c r="AS30" s="312"/>
      <c r="AT30" s="313"/>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282"/>
      <c r="C31" s="282"/>
      <c r="D31" s="283"/>
      <c r="E31" s="323"/>
      <c r="F31" s="324"/>
      <c r="G31" s="324"/>
      <c r="H31" s="324"/>
      <c r="I31" s="324"/>
      <c r="J31" s="360"/>
      <c r="K31" s="358"/>
      <c r="L31" s="358"/>
      <c r="M31" s="358"/>
      <c r="N31" s="358"/>
      <c r="O31" s="359"/>
      <c r="P31" s="350"/>
      <c r="Q31" s="350"/>
      <c r="R31" s="350"/>
      <c r="S31" s="350"/>
      <c r="T31" s="350"/>
      <c r="U31" s="351"/>
      <c r="V31" s="349"/>
      <c r="W31" s="350"/>
      <c r="X31" s="350"/>
      <c r="Y31" s="350"/>
      <c r="Z31" s="350"/>
      <c r="AA31" s="351"/>
      <c r="AB31" s="333"/>
      <c r="AC31" s="329"/>
      <c r="AD31" s="329"/>
      <c r="AE31" s="329"/>
      <c r="AF31" s="329"/>
      <c r="AG31" s="330"/>
      <c r="AH31" s="340"/>
      <c r="AI31" s="341"/>
      <c r="AJ31" s="341"/>
      <c r="AK31" s="341"/>
      <c r="AL31" s="341"/>
      <c r="AM31" s="342"/>
      <c r="AN31" s="82"/>
      <c r="AO31" s="314"/>
      <c r="AP31" s="315"/>
      <c r="AQ31" s="315"/>
      <c r="AR31" s="315"/>
      <c r="AS31" s="315"/>
      <c r="AT31" s="316"/>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282"/>
      <c r="C32" s="282"/>
      <c r="D32" s="283"/>
      <c r="E32" s="323"/>
      <c r="F32" s="324"/>
      <c r="G32" s="324"/>
      <c r="H32" s="324"/>
      <c r="I32" s="324"/>
      <c r="J32" s="360" t="str">
        <f>IF(AND('Mapa final'!$K$29="Baja",'Mapa final'!$O$29="Leve"),CONCATENATE("R",'Mapa final'!$A$29),"")</f>
        <v/>
      </c>
      <c r="K32" s="358"/>
      <c r="L32" s="358" t="str">
        <f>IF(AND('Mapa final'!$K$35="Baja",'Mapa final'!$O$35="Leve"),CONCATENATE("R",'Mapa final'!$A$35),"")</f>
        <v/>
      </c>
      <c r="M32" s="358"/>
      <c r="N32" s="358" t="str">
        <f>IF(AND('Mapa final'!$K$41="Baja",'Mapa final'!$O$41="Leve"),CONCATENATE("R",'Mapa final'!$A$41),"")</f>
        <v/>
      </c>
      <c r="O32" s="359"/>
      <c r="P32" s="350" t="str">
        <f>IF(AND('Mapa final'!$K$29="Baja",'Mapa final'!$O$29="Menor"),CONCATENATE("R",'Mapa final'!$A$29),"")</f>
        <v/>
      </c>
      <c r="Q32" s="350"/>
      <c r="R32" s="350" t="str">
        <f>IF(AND('Mapa final'!$K$35="Baja",'Mapa final'!$O$35="Menor"),CONCATENATE("R",'Mapa final'!$A$35),"")</f>
        <v/>
      </c>
      <c r="S32" s="350"/>
      <c r="T32" s="350" t="str">
        <f>IF(AND('Mapa final'!$K$41="Baja",'Mapa final'!$O$41="Menor"),CONCATENATE("R",'Mapa final'!$A$41),"")</f>
        <v/>
      </c>
      <c r="U32" s="351"/>
      <c r="V32" s="349" t="str">
        <f>IF(AND('Mapa final'!$K$29="Baja",'Mapa final'!$O$29="Moderado"),CONCATENATE("R",'Mapa final'!$A$29),"")</f>
        <v/>
      </c>
      <c r="W32" s="350"/>
      <c r="X32" s="350" t="str">
        <f>IF(AND('Mapa final'!$K$35="Baja",'Mapa final'!$O$35="Moderado"),CONCATENATE("R",'Mapa final'!$A$35),"")</f>
        <v/>
      </c>
      <c r="Y32" s="350"/>
      <c r="Z32" s="350" t="str">
        <f>IF(AND('Mapa final'!$K$41="Baja",'Mapa final'!$O$41="Moderado"),CONCATENATE("R",'Mapa final'!$A$41),"")</f>
        <v/>
      </c>
      <c r="AA32" s="351"/>
      <c r="AB32" s="333" t="str">
        <f>IF(AND('Mapa final'!$K$29="Baja",'Mapa final'!$O$29="Mayor"),CONCATENATE("R",'Mapa final'!$A$29),"")</f>
        <v/>
      </c>
      <c r="AC32" s="329"/>
      <c r="AD32" s="329" t="str">
        <f>IF(AND('Mapa final'!$K$35="Baja",'Mapa final'!$O$35="Mayor"),CONCATENATE("R",'Mapa final'!$A$35),"")</f>
        <v/>
      </c>
      <c r="AE32" s="329"/>
      <c r="AF32" s="329" t="str">
        <f>IF(AND('Mapa final'!$K$41="Baja",'Mapa final'!$O$41="Mayor"),CONCATENATE("R",'Mapa final'!$A$41),"")</f>
        <v/>
      </c>
      <c r="AG32" s="330"/>
      <c r="AH32" s="340" t="str">
        <f>IF(AND('Mapa final'!$K$29="Baja",'Mapa final'!$O$29="Catastrófico"),CONCATENATE("R",'Mapa final'!$A$29),"")</f>
        <v/>
      </c>
      <c r="AI32" s="341"/>
      <c r="AJ32" s="341" t="str">
        <f>IF(AND('Mapa final'!$K$35="Baja",'Mapa final'!$O$35="Catastrófico"),CONCATENATE("R",'Mapa final'!$A$35),"")</f>
        <v/>
      </c>
      <c r="AK32" s="341"/>
      <c r="AL32" s="341" t="str">
        <f>IF(AND('Mapa final'!$K$41="Baja",'Mapa final'!$O$41="Catastrófico"),CONCATENATE("R",'Mapa final'!$A$41),"")</f>
        <v/>
      </c>
      <c r="AM32" s="342"/>
      <c r="AN32" s="82"/>
      <c r="AO32" s="314"/>
      <c r="AP32" s="315"/>
      <c r="AQ32" s="315"/>
      <c r="AR32" s="315"/>
      <c r="AS32" s="315"/>
      <c r="AT32" s="316"/>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282"/>
      <c r="C33" s="282"/>
      <c r="D33" s="283"/>
      <c r="E33" s="323"/>
      <c r="F33" s="324"/>
      <c r="G33" s="324"/>
      <c r="H33" s="324"/>
      <c r="I33" s="324"/>
      <c r="J33" s="360"/>
      <c r="K33" s="358"/>
      <c r="L33" s="358"/>
      <c r="M33" s="358"/>
      <c r="N33" s="358"/>
      <c r="O33" s="359"/>
      <c r="P33" s="350"/>
      <c r="Q33" s="350"/>
      <c r="R33" s="350"/>
      <c r="S33" s="350"/>
      <c r="T33" s="350"/>
      <c r="U33" s="351"/>
      <c r="V33" s="349"/>
      <c r="W33" s="350"/>
      <c r="X33" s="350"/>
      <c r="Y33" s="350"/>
      <c r="Z33" s="350"/>
      <c r="AA33" s="351"/>
      <c r="AB33" s="333"/>
      <c r="AC33" s="329"/>
      <c r="AD33" s="329"/>
      <c r="AE33" s="329"/>
      <c r="AF33" s="329"/>
      <c r="AG33" s="330"/>
      <c r="AH33" s="340"/>
      <c r="AI33" s="341"/>
      <c r="AJ33" s="341"/>
      <c r="AK33" s="341"/>
      <c r="AL33" s="341"/>
      <c r="AM33" s="342"/>
      <c r="AN33" s="82"/>
      <c r="AO33" s="314"/>
      <c r="AP33" s="315"/>
      <c r="AQ33" s="315"/>
      <c r="AR33" s="315"/>
      <c r="AS33" s="315"/>
      <c r="AT33" s="316"/>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282"/>
      <c r="C34" s="282"/>
      <c r="D34" s="283"/>
      <c r="E34" s="323"/>
      <c r="F34" s="324"/>
      <c r="G34" s="324"/>
      <c r="H34" s="324"/>
      <c r="I34" s="324"/>
      <c r="J34" s="360" t="str">
        <f>IF(AND('Mapa final'!$K$47="Baja",'Mapa final'!$O$47="Leve"),CONCATENATE("R",'Mapa final'!$A$47),"")</f>
        <v/>
      </c>
      <c r="K34" s="358"/>
      <c r="L34" s="358" t="str">
        <f>IF(AND('Mapa final'!$K$53="Baja",'Mapa final'!$O$53="Leve"),CONCATENATE("R",'Mapa final'!$A$53),"")</f>
        <v/>
      </c>
      <c r="M34" s="358"/>
      <c r="N34" s="358" t="str">
        <f>IF(AND('Mapa final'!$K$59="Baja",'Mapa final'!$O$59="Leve"),CONCATENATE("R",'Mapa final'!$A$59),"")</f>
        <v/>
      </c>
      <c r="O34" s="359"/>
      <c r="P34" s="350" t="str">
        <f>IF(AND('Mapa final'!$K$47="Baja",'Mapa final'!$O$47="Menor"),CONCATENATE("R",'Mapa final'!$A$47),"")</f>
        <v/>
      </c>
      <c r="Q34" s="350"/>
      <c r="R34" s="350" t="str">
        <f>IF(AND('Mapa final'!$K$53="Baja",'Mapa final'!$O$53="Menor"),CONCATENATE("R",'Mapa final'!$A$53),"")</f>
        <v/>
      </c>
      <c r="S34" s="350"/>
      <c r="T34" s="350" t="str">
        <f>IF(AND('Mapa final'!$K$59="Baja",'Mapa final'!$O$59="Menor"),CONCATENATE("R",'Mapa final'!$A$59),"")</f>
        <v/>
      </c>
      <c r="U34" s="351"/>
      <c r="V34" s="349" t="str">
        <f>IF(AND('Mapa final'!$K$47="Baja",'Mapa final'!$O$47="Moderado"),CONCATENATE("R",'Mapa final'!$A$47),"")</f>
        <v/>
      </c>
      <c r="W34" s="350"/>
      <c r="X34" s="350" t="str">
        <f>IF(AND('Mapa final'!$K$53="Baja",'Mapa final'!$O$53="Moderado"),CONCATENATE("R",'Mapa final'!$A$53),"")</f>
        <v/>
      </c>
      <c r="Y34" s="350"/>
      <c r="Z34" s="350" t="str">
        <f>IF(AND('Mapa final'!$K$59="Baja",'Mapa final'!$O$59="Moderado"),CONCATENATE("R",'Mapa final'!$A$59),"")</f>
        <v/>
      </c>
      <c r="AA34" s="351"/>
      <c r="AB34" s="333" t="str">
        <f>IF(AND('Mapa final'!$K$47="Baja",'Mapa final'!$O$47="Mayor"),CONCATENATE("R",'Mapa final'!$A$47),"")</f>
        <v/>
      </c>
      <c r="AC34" s="329"/>
      <c r="AD34" s="329" t="str">
        <f>IF(AND('Mapa final'!$K$53="Baja",'Mapa final'!$O$53="Mayor"),CONCATENATE("R",'Mapa final'!$A$53),"")</f>
        <v/>
      </c>
      <c r="AE34" s="329"/>
      <c r="AF34" s="329" t="str">
        <f>IF(AND('Mapa final'!$K$59="Baja",'Mapa final'!$O$59="Mayor"),CONCATENATE("R",'Mapa final'!$A$59),"")</f>
        <v/>
      </c>
      <c r="AG34" s="330"/>
      <c r="AH34" s="340" t="str">
        <f>IF(AND('Mapa final'!$K$47="Baja",'Mapa final'!$O$47="Catastrófico"),CONCATENATE("R",'Mapa final'!$A$47),"")</f>
        <v/>
      </c>
      <c r="AI34" s="341"/>
      <c r="AJ34" s="341" t="str">
        <f>IF(AND('Mapa final'!$K$53="Baja",'Mapa final'!$O$53="Catastrófico"),CONCATENATE("R",'Mapa final'!$A$53),"")</f>
        <v/>
      </c>
      <c r="AK34" s="341"/>
      <c r="AL34" s="341" t="str">
        <f>IF(AND('Mapa final'!$K$59="Baja",'Mapa final'!$O$59="Catastrófico"),CONCATENATE("R",'Mapa final'!$A$59),"")</f>
        <v/>
      </c>
      <c r="AM34" s="342"/>
      <c r="AN34" s="82"/>
      <c r="AO34" s="314"/>
      <c r="AP34" s="315"/>
      <c r="AQ34" s="315"/>
      <c r="AR34" s="315"/>
      <c r="AS34" s="315"/>
      <c r="AT34" s="316"/>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282"/>
      <c r="C35" s="282"/>
      <c r="D35" s="283"/>
      <c r="E35" s="323"/>
      <c r="F35" s="324"/>
      <c r="G35" s="324"/>
      <c r="H35" s="324"/>
      <c r="I35" s="324"/>
      <c r="J35" s="360"/>
      <c r="K35" s="358"/>
      <c r="L35" s="358"/>
      <c r="M35" s="358"/>
      <c r="N35" s="358"/>
      <c r="O35" s="359"/>
      <c r="P35" s="350"/>
      <c r="Q35" s="350"/>
      <c r="R35" s="350"/>
      <c r="S35" s="350"/>
      <c r="T35" s="350"/>
      <c r="U35" s="351"/>
      <c r="V35" s="349"/>
      <c r="W35" s="350"/>
      <c r="X35" s="350"/>
      <c r="Y35" s="350"/>
      <c r="Z35" s="350"/>
      <c r="AA35" s="351"/>
      <c r="AB35" s="333"/>
      <c r="AC35" s="329"/>
      <c r="AD35" s="329"/>
      <c r="AE35" s="329"/>
      <c r="AF35" s="329"/>
      <c r="AG35" s="330"/>
      <c r="AH35" s="340"/>
      <c r="AI35" s="341"/>
      <c r="AJ35" s="341"/>
      <c r="AK35" s="341"/>
      <c r="AL35" s="341"/>
      <c r="AM35" s="342"/>
      <c r="AN35" s="82"/>
      <c r="AO35" s="314"/>
      <c r="AP35" s="315"/>
      <c r="AQ35" s="315"/>
      <c r="AR35" s="315"/>
      <c r="AS35" s="315"/>
      <c r="AT35" s="316"/>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282"/>
      <c r="C36" s="282"/>
      <c r="D36" s="283"/>
      <c r="E36" s="323"/>
      <c r="F36" s="324"/>
      <c r="G36" s="324"/>
      <c r="H36" s="324"/>
      <c r="I36" s="324"/>
      <c r="J36" s="360" t="str">
        <f>IF(AND('Mapa final'!$K$65="Baja",'Mapa final'!$O$65="Leve"),CONCATENATE("R",'Mapa final'!$A$65),"")</f>
        <v/>
      </c>
      <c r="K36" s="358"/>
      <c r="L36" s="358" t="str">
        <f>IF(AND('Mapa final'!$K$71="Baja",'Mapa final'!$O$71="Leve"),CONCATENATE("R",'Mapa final'!$A$71),"")</f>
        <v/>
      </c>
      <c r="M36" s="358"/>
      <c r="N36" s="358" t="str">
        <f>IF(AND('Mapa final'!$K$77="Baja",'Mapa final'!$O$77="Leve"),CONCATENATE("R",'Mapa final'!$A$77),"")</f>
        <v/>
      </c>
      <c r="O36" s="359"/>
      <c r="P36" s="350" t="str">
        <f>IF(AND('Mapa final'!$K$65="Baja",'Mapa final'!$O$65="Menor"),CONCATENATE("R",'Mapa final'!$A$65),"")</f>
        <v/>
      </c>
      <c r="Q36" s="350"/>
      <c r="R36" s="350" t="str">
        <f>IF(AND('Mapa final'!$K$71="Baja",'Mapa final'!$O$71="Menor"),CONCATENATE("R",'Mapa final'!$A$71),"")</f>
        <v/>
      </c>
      <c r="S36" s="350"/>
      <c r="T36" s="350" t="str">
        <f>IF(AND('Mapa final'!$K$77="Baja",'Mapa final'!$O$77="Menor"),CONCATENATE("R",'Mapa final'!$A$77),"")</f>
        <v/>
      </c>
      <c r="U36" s="351"/>
      <c r="V36" s="349" t="str">
        <f>IF(AND('Mapa final'!$K$65="Baja",'Mapa final'!$O$65="Moderado"),CONCATENATE("R",'Mapa final'!$A$65),"")</f>
        <v/>
      </c>
      <c r="W36" s="350"/>
      <c r="X36" s="350" t="str">
        <f>IF(AND('Mapa final'!$K$71="Baja",'Mapa final'!$O$71="Moderado"),CONCATENATE("R",'Mapa final'!$A$71),"")</f>
        <v/>
      </c>
      <c r="Y36" s="350"/>
      <c r="Z36" s="350" t="str">
        <f>IF(AND('Mapa final'!$K$77="Baja",'Mapa final'!$O$77="Moderado"),CONCATENATE("R",'Mapa final'!$A$77),"")</f>
        <v/>
      </c>
      <c r="AA36" s="351"/>
      <c r="AB36" s="333" t="str">
        <f>IF(AND('Mapa final'!$K$65="Baja",'Mapa final'!$O$65="Mayor"),CONCATENATE("R",'Mapa final'!$A$65),"")</f>
        <v/>
      </c>
      <c r="AC36" s="329"/>
      <c r="AD36" s="329" t="str">
        <f>IF(AND('Mapa final'!$K$71="Baja",'Mapa final'!$O$71="Mayor"),CONCATENATE("R",'Mapa final'!$A$71),"")</f>
        <v/>
      </c>
      <c r="AE36" s="329"/>
      <c r="AF36" s="329" t="str">
        <f>IF(AND('Mapa final'!$K$77="Baja",'Mapa final'!$O$77="Mayor"),CONCATENATE("R",'Mapa final'!$A$77),"")</f>
        <v/>
      </c>
      <c r="AG36" s="330"/>
      <c r="AH36" s="340" t="str">
        <f>IF(AND('Mapa final'!$K$65="Baja",'Mapa final'!$O$65="Catastrófico"),CONCATENATE("R",'Mapa final'!$A$65),"")</f>
        <v/>
      </c>
      <c r="AI36" s="341"/>
      <c r="AJ36" s="341" t="str">
        <f>IF(AND('Mapa final'!$K$71="Baja",'Mapa final'!$O$71="Catastrófico"),CONCATENATE("R",'Mapa final'!$A$71),"")</f>
        <v/>
      </c>
      <c r="AK36" s="341"/>
      <c r="AL36" s="341" t="str">
        <f>IF(AND('Mapa final'!$K$77="Baja",'Mapa final'!$O$77="Catastrófico"),CONCATENATE("R",'Mapa final'!$A$77),"")</f>
        <v/>
      </c>
      <c r="AM36" s="342"/>
      <c r="AN36" s="82"/>
      <c r="AO36" s="314"/>
      <c r="AP36" s="315"/>
      <c r="AQ36" s="315"/>
      <c r="AR36" s="315"/>
      <c r="AS36" s="315"/>
      <c r="AT36" s="316"/>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282"/>
      <c r="C37" s="282"/>
      <c r="D37" s="283"/>
      <c r="E37" s="326"/>
      <c r="F37" s="327"/>
      <c r="G37" s="327"/>
      <c r="H37" s="327"/>
      <c r="I37" s="327"/>
      <c r="J37" s="361"/>
      <c r="K37" s="362"/>
      <c r="L37" s="362"/>
      <c r="M37" s="362"/>
      <c r="N37" s="362"/>
      <c r="O37" s="363"/>
      <c r="P37" s="353"/>
      <c r="Q37" s="353"/>
      <c r="R37" s="353"/>
      <c r="S37" s="353"/>
      <c r="T37" s="353"/>
      <c r="U37" s="354"/>
      <c r="V37" s="352"/>
      <c r="W37" s="353"/>
      <c r="X37" s="353"/>
      <c r="Y37" s="353"/>
      <c r="Z37" s="353"/>
      <c r="AA37" s="354"/>
      <c r="AB37" s="337"/>
      <c r="AC37" s="338"/>
      <c r="AD37" s="338"/>
      <c r="AE37" s="338"/>
      <c r="AF37" s="338"/>
      <c r="AG37" s="339"/>
      <c r="AH37" s="343"/>
      <c r="AI37" s="344"/>
      <c r="AJ37" s="344"/>
      <c r="AK37" s="344"/>
      <c r="AL37" s="344"/>
      <c r="AM37" s="345"/>
      <c r="AN37" s="82"/>
      <c r="AO37" s="317"/>
      <c r="AP37" s="318"/>
      <c r="AQ37" s="318"/>
      <c r="AR37" s="318"/>
      <c r="AS37" s="318"/>
      <c r="AT37" s="319"/>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282"/>
      <c r="C38" s="282"/>
      <c r="D38" s="283"/>
      <c r="E38" s="320" t="s">
        <v>105</v>
      </c>
      <c r="F38" s="321"/>
      <c r="G38" s="321"/>
      <c r="H38" s="321"/>
      <c r="I38" s="322"/>
      <c r="J38" s="364" t="str">
        <f>IF(AND('Mapa final'!$K$11="Muy Baja",'Mapa final'!$O$11="Leve"),CONCATENATE("R",'Mapa final'!$A$11),"")</f>
        <v/>
      </c>
      <c r="K38" s="365"/>
      <c r="L38" s="365" t="str">
        <f>IF(AND('Mapa final'!$K$17="Muy Baja",'Mapa final'!$O$17="Leve"),CONCATENATE("R",'Mapa final'!$A$17),"")</f>
        <v/>
      </c>
      <c r="M38" s="365"/>
      <c r="N38" s="365" t="str">
        <f>IF(AND('Mapa final'!$K$23="Muy Baja",'Mapa final'!$O$23="Leve"),CONCATENATE("R",'Mapa final'!$A$23),"")</f>
        <v/>
      </c>
      <c r="O38" s="366"/>
      <c r="P38" s="364" t="str">
        <f>IF(AND('Mapa final'!$K$11="Muy Baja",'Mapa final'!$O$11="Menor"),CONCATENATE("R",'Mapa final'!$A$11),"")</f>
        <v/>
      </c>
      <c r="Q38" s="365"/>
      <c r="R38" s="365" t="str">
        <f>IF(AND('Mapa final'!$K$17="Muy Baja",'Mapa final'!$O$17="Menor"),CONCATENATE("R",'Mapa final'!$A$17),"")</f>
        <v/>
      </c>
      <c r="S38" s="365"/>
      <c r="T38" s="365" t="str">
        <f>IF(AND('Mapa final'!$K$23="Muy Baja",'Mapa final'!$O$23="Menor"),CONCATENATE("R",'Mapa final'!$A$23),"")</f>
        <v/>
      </c>
      <c r="U38" s="366"/>
      <c r="V38" s="355" t="str">
        <f>IF(AND('Mapa final'!$K$11="Muy Baja",'Mapa final'!$O$11="Moderado"),CONCATENATE("R",'Mapa final'!$A$11),"")</f>
        <v/>
      </c>
      <c r="W38" s="356"/>
      <c r="X38" s="356" t="str">
        <f>IF(AND('Mapa final'!$K$17="Muy Baja",'Mapa final'!$O$17="Moderado"),CONCATENATE("R",'Mapa final'!$A$17),"")</f>
        <v/>
      </c>
      <c r="Y38" s="356"/>
      <c r="Z38" s="356" t="str">
        <f>IF(AND('Mapa final'!$K$23="Muy Baja",'Mapa final'!$O$23="Moderado"),CONCATENATE("R",'Mapa final'!$A$23),"")</f>
        <v/>
      </c>
      <c r="AA38" s="357"/>
      <c r="AB38" s="331" t="str">
        <f>IF(AND('Mapa final'!$K$11="Muy Baja",'Mapa final'!$O$11="Mayor"),CONCATENATE("R",'Mapa final'!$A$11),"")</f>
        <v/>
      </c>
      <c r="AC38" s="332"/>
      <c r="AD38" s="332" t="str">
        <f>IF(AND('Mapa final'!$K$17="Muy Baja",'Mapa final'!$O$17="Mayor"),CONCATENATE("R",'Mapa final'!$A$17),"")</f>
        <v/>
      </c>
      <c r="AE38" s="332"/>
      <c r="AF38" s="332" t="str">
        <f>IF(AND('Mapa final'!$K$23="Muy Baja",'Mapa final'!$O$23="Mayor"),CONCATENATE("R",'Mapa final'!$A$23),"")</f>
        <v/>
      </c>
      <c r="AG38" s="334"/>
      <c r="AH38" s="346" t="str">
        <f>IF(AND('Mapa final'!$K$11="Muy Baja",'Mapa final'!$O$11="Catastrófico"),CONCATENATE("R",'Mapa final'!$A$11),"")</f>
        <v/>
      </c>
      <c r="AI38" s="347"/>
      <c r="AJ38" s="347" t="str">
        <f>IF(AND('Mapa final'!$K$17="Muy Baja",'Mapa final'!$O$17="Catastrófico"),CONCATENATE("R",'Mapa final'!$A$17),"")</f>
        <v/>
      </c>
      <c r="AK38" s="347"/>
      <c r="AL38" s="347" t="str">
        <f>IF(AND('Mapa final'!$K$23="Muy Baja",'Mapa final'!$O$23="Catastrófico"),CONCATENATE("R",'Mapa final'!$A$23),"")</f>
        <v/>
      </c>
      <c r="AM38" s="348"/>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282"/>
      <c r="C39" s="282"/>
      <c r="D39" s="283"/>
      <c r="E39" s="323"/>
      <c r="F39" s="324"/>
      <c r="G39" s="324"/>
      <c r="H39" s="324"/>
      <c r="I39" s="325"/>
      <c r="J39" s="360"/>
      <c r="K39" s="358"/>
      <c r="L39" s="358"/>
      <c r="M39" s="358"/>
      <c r="N39" s="358"/>
      <c r="O39" s="359"/>
      <c r="P39" s="360"/>
      <c r="Q39" s="358"/>
      <c r="R39" s="358"/>
      <c r="S39" s="358"/>
      <c r="T39" s="358"/>
      <c r="U39" s="359"/>
      <c r="V39" s="349"/>
      <c r="W39" s="350"/>
      <c r="X39" s="350"/>
      <c r="Y39" s="350"/>
      <c r="Z39" s="350"/>
      <c r="AA39" s="351"/>
      <c r="AB39" s="333"/>
      <c r="AC39" s="329"/>
      <c r="AD39" s="329"/>
      <c r="AE39" s="329"/>
      <c r="AF39" s="329"/>
      <c r="AG39" s="330"/>
      <c r="AH39" s="340"/>
      <c r="AI39" s="341"/>
      <c r="AJ39" s="341"/>
      <c r="AK39" s="341"/>
      <c r="AL39" s="341"/>
      <c r="AM39" s="34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282"/>
      <c r="C40" s="282"/>
      <c r="D40" s="283"/>
      <c r="E40" s="323"/>
      <c r="F40" s="324"/>
      <c r="G40" s="324"/>
      <c r="H40" s="324"/>
      <c r="I40" s="325"/>
      <c r="J40" s="360" t="str">
        <f>IF(AND('Mapa final'!$K$29="Muy Baja",'Mapa final'!$O$29="Leve"),CONCATENATE("R",'Mapa final'!$A$29),"")</f>
        <v/>
      </c>
      <c r="K40" s="358"/>
      <c r="L40" s="358" t="str">
        <f>IF(AND('Mapa final'!$K$35="Muy Baja",'Mapa final'!$O$35="Leve"),CONCATENATE("R",'Mapa final'!$A$35),"")</f>
        <v/>
      </c>
      <c r="M40" s="358"/>
      <c r="N40" s="358" t="str">
        <f>IF(AND('Mapa final'!$K$41="Muy Baja",'Mapa final'!$O$41="Leve"),CONCATENATE("R",'Mapa final'!$A$41),"")</f>
        <v/>
      </c>
      <c r="O40" s="359"/>
      <c r="P40" s="360" t="str">
        <f>IF(AND('Mapa final'!$K$29="Muy Baja",'Mapa final'!$O$29="Menor"),CONCATENATE("R",'Mapa final'!$A$29),"")</f>
        <v/>
      </c>
      <c r="Q40" s="358"/>
      <c r="R40" s="358" t="str">
        <f>IF(AND('Mapa final'!$K$35="Muy Baja",'Mapa final'!$O$35="Menor"),CONCATENATE("R",'Mapa final'!$A$35),"")</f>
        <v/>
      </c>
      <c r="S40" s="358"/>
      <c r="T40" s="358" t="str">
        <f>IF(AND('Mapa final'!$K$41="Muy Baja",'Mapa final'!$O$41="Menor"),CONCATENATE("R",'Mapa final'!$A$41),"")</f>
        <v/>
      </c>
      <c r="U40" s="359"/>
      <c r="V40" s="349" t="str">
        <f>IF(AND('Mapa final'!$K$29="Muy Baja",'Mapa final'!$O$29="Moderado"),CONCATENATE("R",'Mapa final'!$A$29),"")</f>
        <v/>
      </c>
      <c r="W40" s="350"/>
      <c r="X40" s="350" t="str">
        <f>IF(AND('Mapa final'!$K$35="Muy Baja",'Mapa final'!$O$35="Moderado"),CONCATENATE("R",'Mapa final'!$A$35),"")</f>
        <v/>
      </c>
      <c r="Y40" s="350"/>
      <c r="Z40" s="350" t="str">
        <f>IF(AND('Mapa final'!$K$41="Muy Baja",'Mapa final'!$O$41="Moderado"),CONCATENATE("R",'Mapa final'!$A$41),"")</f>
        <v/>
      </c>
      <c r="AA40" s="351"/>
      <c r="AB40" s="333" t="str">
        <f>IF(AND('Mapa final'!$K$29="Muy Baja",'Mapa final'!$O$29="Mayor"),CONCATENATE("R",'Mapa final'!$A$29),"")</f>
        <v/>
      </c>
      <c r="AC40" s="329"/>
      <c r="AD40" s="329" t="str">
        <f>IF(AND('Mapa final'!$K$35="Muy Baja",'Mapa final'!$O$35="Mayor"),CONCATENATE("R",'Mapa final'!$A$35),"")</f>
        <v/>
      </c>
      <c r="AE40" s="329"/>
      <c r="AF40" s="329" t="str">
        <f>IF(AND('Mapa final'!$K$41="Muy Baja",'Mapa final'!$O$41="Mayor"),CONCATENATE("R",'Mapa final'!$A$41),"")</f>
        <v/>
      </c>
      <c r="AG40" s="330"/>
      <c r="AH40" s="340" t="str">
        <f>IF(AND('Mapa final'!$K$29="Muy Baja",'Mapa final'!$O$29="Catastrófico"),CONCATENATE("R",'Mapa final'!$A$29),"")</f>
        <v/>
      </c>
      <c r="AI40" s="341"/>
      <c r="AJ40" s="341" t="str">
        <f>IF(AND('Mapa final'!$K$35="Muy Baja",'Mapa final'!$O$35="Catastrófico"),CONCATENATE("R",'Mapa final'!$A$35),"")</f>
        <v/>
      </c>
      <c r="AK40" s="341"/>
      <c r="AL40" s="341" t="str">
        <f>IF(AND('Mapa final'!$K$41="Muy Baja",'Mapa final'!$O$41="Catastrófico"),CONCATENATE("R",'Mapa final'!$A$41),"")</f>
        <v/>
      </c>
      <c r="AM40" s="34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282"/>
      <c r="C41" s="282"/>
      <c r="D41" s="283"/>
      <c r="E41" s="323"/>
      <c r="F41" s="324"/>
      <c r="G41" s="324"/>
      <c r="H41" s="324"/>
      <c r="I41" s="325"/>
      <c r="J41" s="360"/>
      <c r="K41" s="358"/>
      <c r="L41" s="358"/>
      <c r="M41" s="358"/>
      <c r="N41" s="358"/>
      <c r="O41" s="359"/>
      <c r="P41" s="360"/>
      <c r="Q41" s="358"/>
      <c r="R41" s="358"/>
      <c r="S41" s="358"/>
      <c r="T41" s="358"/>
      <c r="U41" s="359"/>
      <c r="V41" s="349"/>
      <c r="W41" s="350"/>
      <c r="X41" s="350"/>
      <c r="Y41" s="350"/>
      <c r="Z41" s="350"/>
      <c r="AA41" s="351"/>
      <c r="AB41" s="333"/>
      <c r="AC41" s="329"/>
      <c r="AD41" s="329"/>
      <c r="AE41" s="329"/>
      <c r="AF41" s="329"/>
      <c r="AG41" s="330"/>
      <c r="AH41" s="340"/>
      <c r="AI41" s="341"/>
      <c r="AJ41" s="341"/>
      <c r="AK41" s="341"/>
      <c r="AL41" s="341"/>
      <c r="AM41" s="34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282"/>
      <c r="C42" s="282"/>
      <c r="D42" s="283"/>
      <c r="E42" s="323"/>
      <c r="F42" s="324"/>
      <c r="G42" s="324"/>
      <c r="H42" s="324"/>
      <c r="I42" s="325"/>
      <c r="J42" s="360" t="str">
        <f>IF(AND('Mapa final'!$K$47="Muy Baja",'Mapa final'!$O$47="Leve"),CONCATENATE("R",'Mapa final'!$A$47),"")</f>
        <v/>
      </c>
      <c r="K42" s="358"/>
      <c r="L42" s="358" t="str">
        <f>IF(AND('Mapa final'!$K$53="Muy Baja",'Mapa final'!$O$53="Leve"),CONCATENATE("R",'Mapa final'!$A$53),"")</f>
        <v/>
      </c>
      <c r="M42" s="358"/>
      <c r="N42" s="358" t="str">
        <f>IF(AND('Mapa final'!$K$59="Muy Baja",'Mapa final'!$O$59="Leve"),CONCATENATE("R",'Mapa final'!$A$59),"")</f>
        <v/>
      </c>
      <c r="O42" s="359"/>
      <c r="P42" s="360" t="str">
        <f>IF(AND('Mapa final'!$K$47="Muy Baja",'Mapa final'!$O$47="Menor"),CONCATENATE("R",'Mapa final'!$A$47),"")</f>
        <v/>
      </c>
      <c r="Q42" s="358"/>
      <c r="R42" s="358" t="str">
        <f>IF(AND('Mapa final'!$K$53="Muy Baja",'Mapa final'!$O$53="Menor"),CONCATENATE("R",'Mapa final'!$A$53),"")</f>
        <v/>
      </c>
      <c r="S42" s="358"/>
      <c r="T42" s="358" t="str">
        <f>IF(AND('Mapa final'!$K$59="Muy Baja",'Mapa final'!$O$59="Menor"),CONCATENATE("R",'Mapa final'!$A$59),"")</f>
        <v/>
      </c>
      <c r="U42" s="359"/>
      <c r="V42" s="349" t="str">
        <f>IF(AND('Mapa final'!$K$47="Muy Baja",'Mapa final'!$O$47="Moderado"),CONCATENATE("R",'Mapa final'!$A$47),"")</f>
        <v/>
      </c>
      <c r="W42" s="350"/>
      <c r="X42" s="350" t="str">
        <f>IF(AND('Mapa final'!$K$53="Muy Baja",'Mapa final'!$O$53="Moderado"),CONCATENATE("R",'Mapa final'!$A$53),"")</f>
        <v/>
      </c>
      <c r="Y42" s="350"/>
      <c r="Z42" s="350" t="str">
        <f>IF(AND('Mapa final'!$K$59="Muy Baja",'Mapa final'!$O$59="Moderado"),CONCATENATE("R",'Mapa final'!$A$59),"")</f>
        <v/>
      </c>
      <c r="AA42" s="351"/>
      <c r="AB42" s="333" t="str">
        <f>IF(AND('Mapa final'!$K$47="Muy Baja",'Mapa final'!$O$47="Mayor"),CONCATENATE("R",'Mapa final'!$A$47),"")</f>
        <v/>
      </c>
      <c r="AC42" s="329"/>
      <c r="AD42" s="329" t="str">
        <f>IF(AND('Mapa final'!$K$53="Muy Baja",'Mapa final'!$O$53="Mayor"),CONCATENATE("R",'Mapa final'!$A$53),"")</f>
        <v/>
      </c>
      <c r="AE42" s="329"/>
      <c r="AF42" s="329" t="str">
        <f>IF(AND('Mapa final'!$K$59="Muy Baja",'Mapa final'!$O$59="Mayor"),CONCATENATE("R",'Mapa final'!$A$59),"")</f>
        <v/>
      </c>
      <c r="AG42" s="330"/>
      <c r="AH42" s="340" t="str">
        <f>IF(AND('Mapa final'!$K$47="Muy Baja",'Mapa final'!$O$47="Catastrófico"),CONCATENATE("R",'Mapa final'!$A$47),"")</f>
        <v/>
      </c>
      <c r="AI42" s="341"/>
      <c r="AJ42" s="341" t="str">
        <f>IF(AND('Mapa final'!$K$53="Muy Baja",'Mapa final'!$O$53="Catastrófico"),CONCATENATE("R",'Mapa final'!$A$53),"")</f>
        <v/>
      </c>
      <c r="AK42" s="341"/>
      <c r="AL42" s="341" t="str">
        <f>IF(AND('Mapa final'!$K$59="Muy Baja",'Mapa final'!$O$59="Catastrófico"),CONCATENATE("R",'Mapa final'!$A$59),"")</f>
        <v/>
      </c>
      <c r="AM42" s="34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282"/>
      <c r="C43" s="282"/>
      <c r="D43" s="283"/>
      <c r="E43" s="323"/>
      <c r="F43" s="324"/>
      <c r="G43" s="324"/>
      <c r="H43" s="324"/>
      <c r="I43" s="325"/>
      <c r="J43" s="360"/>
      <c r="K43" s="358"/>
      <c r="L43" s="358"/>
      <c r="M43" s="358"/>
      <c r="N43" s="358"/>
      <c r="O43" s="359"/>
      <c r="P43" s="360"/>
      <c r="Q43" s="358"/>
      <c r="R43" s="358"/>
      <c r="S43" s="358"/>
      <c r="T43" s="358"/>
      <c r="U43" s="359"/>
      <c r="V43" s="349"/>
      <c r="W43" s="350"/>
      <c r="X43" s="350"/>
      <c r="Y43" s="350"/>
      <c r="Z43" s="350"/>
      <c r="AA43" s="351"/>
      <c r="AB43" s="333"/>
      <c r="AC43" s="329"/>
      <c r="AD43" s="329"/>
      <c r="AE43" s="329"/>
      <c r="AF43" s="329"/>
      <c r="AG43" s="330"/>
      <c r="AH43" s="340"/>
      <c r="AI43" s="341"/>
      <c r="AJ43" s="341"/>
      <c r="AK43" s="341"/>
      <c r="AL43" s="341"/>
      <c r="AM43" s="34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282"/>
      <c r="C44" s="282"/>
      <c r="D44" s="283"/>
      <c r="E44" s="323"/>
      <c r="F44" s="324"/>
      <c r="G44" s="324"/>
      <c r="H44" s="324"/>
      <c r="I44" s="325"/>
      <c r="J44" s="360" t="str">
        <f>IF(AND('Mapa final'!$K$65="Muy Baja",'Mapa final'!$O$65="Leve"),CONCATENATE("R",'Mapa final'!$A$65),"")</f>
        <v/>
      </c>
      <c r="K44" s="358"/>
      <c r="L44" s="358" t="str">
        <f>IF(AND('Mapa final'!$K$71="Muy Baja",'Mapa final'!$O$71="Leve"),CONCATENATE("R",'Mapa final'!$A$71),"")</f>
        <v/>
      </c>
      <c r="M44" s="358"/>
      <c r="N44" s="358" t="str">
        <f>IF(AND('Mapa final'!$K$77="Muy Baja",'Mapa final'!$O$77="Leve"),CONCATENATE("R",'Mapa final'!$A$77),"")</f>
        <v/>
      </c>
      <c r="O44" s="359"/>
      <c r="P44" s="360" t="str">
        <f>IF(AND('Mapa final'!$K$65="Muy Baja",'Mapa final'!$O$65="Menor"),CONCATENATE("R",'Mapa final'!$A$65),"")</f>
        <v/>
      </c>
      <c r="Q44" s="358"/>
      <c r="R44" s="358" t="str">
        <f>IF(AND('Mapa final'!$K$71="Muy Baja",'Mapa final'!$O$71="Menor"),CONCATENATE("R",'Mapa final'!$A$71),"")</f>
        <v/>
      </c>
      <c r="S44" s="358"/>
      <c r="T44" s="358" t="str">
        <f>IF(AND('Mapa final'!$K$77="Muy Baja",'Mapa final'!$O$77="Menor"),CONCATENATE("R",'Mapa final'!$A$77),"")</f>
        <v/>
      </c>
      <c r="U44" s="359"/>
      <c r="V44" s="349" t="str">
        <f>IF(AND('Mapa final'!$K$65="Muy Baja",'Mapa final'!$O$65="Moderado"),CONCATENATE("R",'Mapa final'!$A$65),"")</f>
        <v/>
      </c>
      <c r="W44" s="350"/>
      <c r="X44" s="350" t="str">
        <f>IF(AND('Mapa final'!$K$71="Muy Baja",'Mapa final'!$O$71="Moderado"),CONCATENATE("R",'Mapa final'!$A$71),"")</f>
        <v/>
      </c>
      <c r="Y44" s="350"/>
      <c r="Z44" s="350" t="str">
        <f>IF(AND('Mapa final'!$K$77="Muy Baja",'Mapa final'!$O$77="Moderado"),CONCATENATE("R",'Mapa final'!$A$77),"")</f>
        <v/>
      </c>
      <c r="AA44" s="351"/>
      <c r="AB44" s="333" t="str">
        <f>IF(AND('Mapa final'!$K$65="Muy Baja",'Mapa final'!$O$65="Mayor"),CONCATENATE("R",'Mapa final'!$A$65),"")</f>
        <v/>
      </c>
      <c r="AC44" s="329"/>
      <c r="AD44" s="329" t="str">
        <f>IF(AND('Mapa final'!$K$71="Muy Baja",'Mapa final'!$O$71="Mayor"),CONCATENATE("R",'Mapa final'!$A$71),"")</f>
        <v/>
      </c>
      <c r="AE44" s="329"/>
      <c r="AF44" s="329" t="str">
        <f>IF(AND('Mapa final'!$K$77="Muy Baja",'Mapa final'!$O$77="Mayor"),CONCATENATE("R",'Mapa final'!$A$77),"")</f>
        <v/>
      </c>
      <c r="AG44" s="330"/>
      <c r="AH44" s="340" t="str">
        <f>IF(AND('Mapa final'!$K$65="Muy Baja",'Mapa final'!$O$65="Catastrófico"),CONCATENATE("R",'Mapa final'!$A$65),"")</f>
        <v/>
      </c>
      <c r="AI44" s="341"/>
      <c r="AJ44" s="341" t="str">
        <f>IF(AND('Mapa final'!$K$71="Muy Baja",'Mapa final'!$O$71="Catastrófico"),CONCATENATE("R",'Mapa final'!$A$71),"")</f>
        <v/>
      </c>
      <c r="AK44" s="341"/>
      <c r="AL44" s="341" t="str">
        <f>IF(AND('Mapa final'!$K$77="Muy Baja",'Mapa final'!$O$77="Catastrófico"),CONCATENATE("R",'Mapa final'!$A$77),"")</f>
        <v/>
      </c>
      <c r="AM44" s="34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282"/>
      <c r="C45" s="282"/>
      <c r="D45" s="283"/>
      <c r="E45" s="326"/>
      <c r="F45" s="327"/>
      <c r="G45" s="327"/>
      <c r="H45" s="327"/>
      <c r="I45" s="328"/>
      <c r="J45" s="361"/>
      <c r="K45" s="362"/>
      <c r="L45" s="362"/>
      <c r="M45" s="362"/>
      <c r="N45" s="362"/>
      <c r="O45" s="363"/>
      <c r="P45" s="361"/>
      <c r="Q45" s="362"/>
      <c r="R45" s="362"/>
      <c r="S45" s="362"/>
      <c r="T45" s="362"/>
      <c r="U45" s="363"/>
      <c r="V45" s="352"/>
      <c r="W45" s="353"/>
      <c r="X45" s="353"/>
      <c r="Y45" s="353"/>
      <c r="Z45" s="353"/>
      <c r="AA45" s="354"/>
      <c r="AB45" s="337"/>
      <c r="AC45" s="338"/>
      <c r="AD45" s="338"/>
      <c r="AE45" s="338"/>
      <c r="AF45" s="338"/>
      <c r="AG45" s="339"/>
      <c r="AH45" s="343"/>
      <c r="AI45" s="344"/>
      <c r="AJ45" s="344"/>
      <c r="AK45" s="344"/>
      <c r="AL45" s="344"/>
      <c r="AM45" s="345"/>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20" t="s">
        <v>104</v>
      </c>
      <c r="K46" s="321"/>
      <c r="L46" s="321"/>
      <c r="M46" s="321"/>
      <c r="N46" s="321"/>
      <c r="O46" s="322"/>
      <c r="P46" s="320" t="s">
        <v>103</v>
      </c>
      <c r="Q46" s="321"/>
      <c r="R46" s="321"/>
      <c r="S46" s="321"/>
      <c r="T46" s="321"/>
      <c r="U46" s="322"/>
      <c r="V46" s="320" t="s">
        <v>102</v>
      </c>
      <c r="W46" s="321"/>
      <c r="X46" s="321"/>
      <c r="Y46" s="321"/>
      <c r="Z46" s="321"/>
      <c r="AA46" s="322"/>
      <c r="AB46" s="320" t="s">
        <v>101</v>
      </c>
      <c r="AC46" s="336"/>
      <c r="AD46" s="321"/>
      <c r="AE46" s="321"/>
      <c r="AF46" s="321"/>
      <c r="AG46" s="322"/>
      <c r="AH46" s="320" t="s">
        <v>100</v>
      </c>
      <c r="AI46" s="321"/>
      <c r="AJ46" s="321"/>
      <c r="AK46" s="321"/>
      <c r="AL46" s="321"/>
      <c r="AM46" s="32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23"/>
      <c r="K47" s="324"/>
      <c r="L47" s="324"/>
      <c r="M47" s="324"/>
      <c r="N47" s="324"/>
      <c r="O47" s="325"/>
      <c r="P47" s="323"/>
      <c r="Q47" s="324"/>
      <c r="R47" s="324"/>
      <c r="S47" s="324"/>
      <c r="T47" s="324"/>
      <c r="U47" s="325"/>
      <c r="V47" s="323"/>
      <c r="W47" s="324"/>
      <c r="X47" s="324"/>
      <c r="Y47" s="324"/>
      <c r="Z47" s="324"/>
      <c r="AA47" s="325"/>
      <c r="AB47" s="323"/>
      <c r="AC47" s="324"/>
      <c r="AD47" s="324"/>
      <c r="AE47" s="324"/>
      <c r="AF47" s="324"/>
      <c r="AG47" s="325"/>
      <c r="AH47" s="323"/>
      <c r="AI47" s="324"/>
      <c r="AJ47" s="324"/>
      <c r="AK47" s="324"/>
      <c r="AL47" s="324"/>
      <c r="AM47" s="325"/>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23"/>
      <c r="K48" s="324"/>
      <c r="L48" s="324"/>
      <c r="M48" s="324"/>
      <c r="N48" s="324"/>
      <c r="O48" s="325"/>
      <c r="P48" s="323"/>
      <c r="Q48" s="324"/>
      <c r="R48" s="324"/>
      <c r="S48" s="324"/>
      <c r="T48" s="324"/>
      <c r="U48" s="325"/>
      <c r="V48" s="323"/>
      <c r="W48" s="324"/>
      <c r="X48" s="324"/>
      <c r="Y48" s="324"/>
      <c r="Z48" s="324"/>
      <c r="AA48" s="325"/>
      <c r="AB48" s="323"/>
      <c r="AC48" s="324"/>
      <c r="AD48" s="324"/>
      <c r="AE48" s="324"/>
      <c r="AF48" s="324"/>
      <c r="AG48" s="325"/>
      <c r="AH48" s="323"/>
      <c r="AI48" s="324"/>
      <c r="AJ48" s="324"/>
      <c r="AK48" s="324"/>
      <c r="AL48" s="324"/>
      <c r="AM48" s="325"/>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23"/>
      <c r="K49" s="324"/>
      <c r="L49" s="324"/>
      <c r="M49" s="324"/>
      <c r="N49" s="324"/>
      <c r="O49" s="325"/>
      <c r="P49" s="323"/>
      <c r="Q49" s="324"/>
      <c r="R49" s="324"/>
      <c r="S49" s="324"/>
      <c r="T49" s="324"/>
      <c r="U49" s="325"/>
      <c r="V49" s="323"/>
      <c r="W49" s="324"/>
      <c r="X49" s="324"/>
      <c r="Y49" s="324"/>
      <c r="Z49" s="324"/>
      <c r="AA49" s="325"/>
      <c r="AB49" s="323"/>
      <c r="AC49" s="324"/>
      <c r="AD49" s="324"/>
      <c r="AE49" s="324"/>
      <c r="AF49" s="324"/>
      <c r="AG49" s="325"/>
      <c r="AH49" s="323"/>
      <c r="AI49" s="324"/>
      <c r="AJ49" s="324"/>
      <c r="AK49" s="324"/>
      <c r="AL49" s="324"/>
      <c r="AM49" s="325"/>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23"/>
      <c r="K50" s="324"/>
      <c r="L50" s="324"/>
      <c r="M50" s="324"/>
      <c r="N50" s="324"/>
      <c r="O50" s="325"/>
      <c r="P50" s="323"/>
      <c r="Q50" s="324"/>
      <c r="R50" s="324"/>
      <c r="S50" s="324"/>
      <c r="T50" s="324"/>
      <c r="U50" s="325"/>
      <c r="V50" s="323"/>
      <c r="W50" s="324"/>
      <c r="X50" s="324"/>
      <c r="Y50" s="324"/>
      <c r="Z50" s="324"/>
      <c r="AA50" s="325"/>
      <c r="AB50" s="323"/>
      <c r="AC50" s="324"/>
      <c r="AD50" s="324"/>
      <c r="AE50" s="324"/>
      <c r="AF50" s="324"/>
      <c r="AG50" s="325"/>
      <c r="AH50" s="323"/>
      <c r="AI50" s="324"/>
      <c r="AJ50" s="324"/>
      <c r="AK50" s="324"/>
      <c r="AL50" s="324"/>
      <c r="AM50" s="325"/>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26"/>
      <c r="K51" s="327"/>
      <c r="L51" s="327"/>
      <c r="M51" s="327"/>
      <c r="N51" s="327"/>
      <c r="O51" s="328"/>
      <c r="P51" s="326"/>
      <c r="Q51" s="327"/>
      <c r="R51" s="327"/>
      <c r="S51" s="327"/>
      <c r="T51" s="327"/>
      <c r="U51" s="328"/>
      <c r="V51" s="326"/>
      <c r="W51" s="327"/>
      <c r="X51" s="327"/>
      <c r="Y51" s="327"/>
      <c r="Z51" s="327"/>
      <c r="AA51" s="328"/>
      <c r="AB51" s="326"/>
      <c r="AC51" s="327"/>
      <c r="AD51" s="327"/>
      <c r="AE51" s="327"/>
      <c r="AF51" s="327"/>
      <c r="AG51" s="328"/>
      <c r="AH51" s="326"/>
      <c r="AI51" s="327"/>
      <c r="AJ51" s="327"/>
      <c r="AK51" s="327"/>
      <c r="AL51" s="327"/>
      <c r="AM51" s="328"/>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B2" sqref="B2:I4"/>
    </sheetView>
  </sheetViews>
  <sheetFormatPr baseColWidth="10" defaultRowHeight="15" x14ac:dyDescent="0.25"/>
  <cols>
    <col min="2" max="18" width="5.5703125" customWidth="1"/>
    <col min="19" max="19" width="8.42578125" customWidth="1"/>
    <col min="20" max="23" width="5.5703125" customWidth="1"/>
    <col min="24" max="24" width="8.42578125" customWidth="1"/>
    <col min="25" max="26" width="5.5703125" customWidth="1"/>
    <col min="27" max="27" width="10.5703125" customWidth="1"/>
    <col min="28" max="28" width="5.5703125" customWidth="1"/>
    <col min="29" max="29" width="7.42578125" customWidth="1"/>
    <col min="30" max="33" width="5.5703125" customWidth="1"/>
    <col min="34" max="34" width="8.42578125" customWidth="1"/>
    <col min="35" max="39" width="5.5703125" customWidth="1"/>
    <col min="41" max="46" width="5.570312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393" t="s">
        <v>142</v>
      </c>
      <c r="C2" s="394"/>
      <c r="D2" s="394"/>
      <c r="E2" s="394"/>
      <c r="F2" s="394"/>
      <c r="G2" s="394"/>
      <c r="H2" s="394"/>
      <c r="I2" s="394"/>
      <c r="J2" s="335" t="s">
        <v>2</v>
      </c>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394"/>
      <c r="C3" s="394"/>
      <c r="D3" s="394"/>
      <c r="E3" s="394"/>
      <c r="F3" s="394"/>
      <c r="G3" s="394"/>
      <c r="H3" s="394"/>
      <c r="I3" s="394"/>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394"/>
      <c r="C4" s="394"/>
      <c r="D4" s="394"/>
      <c r="E4" s="394"/>
      <c r="F4" s="394"/>
      <c r="G4" s="394"/>
      <c r="H4" s="394"/>
      <c r="I4" s="394"/>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282" t="s">
        <v>3</v>
      </c>
      <c r="C6" s="282"/>
      <c r="D6" s="283"/>
      <c r="E6" s="377" t="s">
        <v>108</v>
      </c>
      <c r="F6" s="378"/>
      <c r="G6" s="378"/>
      <c r="H6" s="378"/>
      <c r="I6" s="395"/>
      <c r="J6" s="45" t="str">
        <f>IF(AND('Mapa final'!$AB$11="Muy Alta",'Mapa final'!$AD$11="Leve"),CONCATENATE("R1C",'Mapa final'!$R$11),"")</f>
        <v/>
      </c>
      <c r="K6" s="46" t="str">
        <f>IF(AND('Mapa final'!$AB$12="Muy Alta",'Mapa final'!$AD$12="Leve"),CONCATENATE("R1C",'Mapa final'!$R$12),"")</f>
        <v/>
      </c>
      <c r="L6" s="46" t="str">
        <f>IF(AND('Mapa final'!$AB$13="Muy Alta",'Mapa final'!$AD$13="Leve"),CONCATENATE("R1C",'Mapa final'!$R$13),"")</f>
        <v/>
      </c>
      <c r="M6" s="46" t="str">
        <f>IF(AND('Mapa final'!$AB$14="Muy Alta",'Mapa final'!$AD$14="Leve"),CONCATENATE("R1C",'Mapa final'!$R$14),"")</f>
        <v/>
      </c>
      <c r="N6" s="46" t="str">
        <f>IF(AND('Mapa final'!$AB$15="Muy Alta",'Mapa final'!$AD$15="Leve"),CONCATENATE("R1C",'Mapa final'!$R$15),"")</f>
        <v/>
      </c>
      <c r="O6" s="47" t="str">
        <f>IF(AND('Mapa final'!$AB$16="Muy Alta",'Mapa final'!$AD$16="Leve"),CONCATENATE("R1C",'Mapa final'!$R$16),"")</f>
        <v/>
      </c>
      <c r="P6" s="45" t="str">
        <f>IF(AND('Mapa final'!$AB$11="Muy Alta",'Mapa final'!$AD$11="Menor"),CONCATENATE("R1C",'Mapa final'!$R$11),"")</f>
        <v/>
      </c>
      <c r="Q6" s="46" t="str">
        <f>IF(AND('Mapa final'!$AB$12="Muy Alta",'Mapa final'!$AD$12="Menor"),CONCATENATE("R1C",'Mapa final'!$R$12),"")</f>
        <v/>
      </c>
      <c r="R6" s="46" t="str">
        <f>IF(AND('Mapa final'!$AB$13="Muy Alta",'Mapa final'!$AD$13="Menor"),CONCATENATE("R1C",'Mapa final'!$R$13),"")</f>
        <v/>
      </c>
      <c r="S6" s="46" t="str">
        <f>IF(AND('Mapa final'!$AB$14="Muy Alta",'Mapa final'!$AD$14="Menor"),CONCATENATE("R1C",'Mapa final'!$R$14),"")</f>
        <v/>
      </c>
      <c r="T6" s="46" t="str">
        <f>IF(AND('Mapa final'!$AB$15="Muy Alta",'Mapa final'!$AD$15="Menor"),CONCATENATE("R1C",'Mapa final'!$R$15),"")</f>
        <v/>
      </c>
      <c r="U6" s="47" t="str">
        <f>IF(AND('Mapa final'!$AB$16="Muy Alta",'Mapa final'!$AD$16="Menor"),CONCATENATE("R1C",'Mapa final'!$R$16),"")</f>
        <v/>
      </c>
      <c r="V6" s="45" t="str">
        <f>IF(AND('Mapa final'!$AB$11="Muy Alta",'Mapa final'!$AD$11="Moderado"),CONCATENATE("R1C",'Mapa final'!$R$11),"")</f>
        <v/>
      </c>
      <c r="W6" s="46" t="str">
        <f>IF(AND('Mapa final'!$AB$12="Muy Alta",'Mapa final'!$AD$12="Moderado"),CONCATENATE("R1C",'Mapa final'!$R$12),"")</f>
        <v/>
      </c>
      <c r="X6" s="46" t="str">
        <f>IF(AND('Mapa final'!$AB$13="Muy Alta",'Mapa final'!$AD$13="Moderado"),CONCATENATE("R1C",'Mapa final'!$R$13),"")</f>
        <v/>
      </c>
      <c r="Y6" s="46" t="str">
        <f>IF(AND('Mapa final'!$AB$14="Muy Alta",'Mapa final'!$AD$14="Moderado"),CONCATENATE("R1C",'Mapa final'!$R$14),"")</f>
        <v/>
      </c>
      <c r="Z6" s="46" t="str">
        <f>IF(AND('Mapa final'!$AB$15="Muy Alta",'Mapa final'!$AD$15="Moderado"),CONCATENATE("R1C",'Mapa final'!$R$15),"")</f>
        <v/>
      </c>
      <c r="AA6" s="47" t="str">
        <f>IF(AND('Mapa final'!$AB$16="Muy Alta",'Mapa final'!$AD$16="Moderado"),CONCATENATE("R1C",'Mapa final'!$R$16),"")</f>
        <v/>
      </c>
      <c r="AB6" s="45" t="str">
        <f>IF(AND('Mapa final'!$AB$11="Muy Alta",'Mapa final'!$AD$11="Mayor"),CONCATENATE("R1C",'Mapa final'!$R$11),"")</f>
        <v/>
      </c>
      <c r="AC6" s="46" t="str">
        <f>IF(AND('Mapa final'!$AB$12="Muy Alta",'Mapa final'!$AD$12="Mayor"),CONCATENATE("R1C",'Mapa final'!$R$12),"")</f>
        <v/>
      </c>
      <c r="AD6" s="46" t="str">
        <f>IF(AND('Mapa final'!$AB$13="Muy Alta",'Mapa final'!$AD$13="Mayor"),CONCATENATE("R1C",'Mapa final'!$R$13),"")</f>
        <v/>
      </c>
      <c r="AE6" s="46" t="str">
        <f>IF(AND('Mapa final'!$AB$14="Muy Alta",'Mapa final'!$AD$14="Mayor"),CONCATENATE("R1C",'Mapa final'!$R$14),"")</f>
        <v/>
      </c>
      <c r="AF6" s="46" t="str">
        <f>IF(AND('Mapa final'!$AB$15="Muy Alta",'Mapa final'!$AD$15="Mayor"),CONCATENATE("R1C",'Mapa final'!$R$15),"")</f>
        <v/>
      </c>
      <c r="AG6" s="47" t="str">
        <f>IF(AND('Mapa final'!$AB$16="Muy Alta",'Mapa final'!$AD$16="Mayor"),CONCATENATE("R1C",'Mapa final'!$R$16),"")</f>
        <v/>
      </c>
      <c r="AH6" s="48" t="str">
        <f>IF(AND('Mapa final'!$AB$11="Muy Alta",'Mapa final'!$AD$11="Catastrófico"),CONCATENATE("R1C",'Mapa final'!$R$11),"")</f>
        <v/>
      </c>
      <c r="AI6" s="49" t="str">
        <f>IF(AND('Mapa final'!$AB$12="Muy Alta",'Mapa final'!$AD$12="Catastrófico"),CONCATENATE("R1C",'Mapa final'!$R$12),"")</f>
        <v/>
      </c>
      <c r="AJ6" s="49" t="str">
        <f>IF(AND('Mapa final'!$AB$13="Muy Alta",'Mapa final'!$AD$13="Catastrófico"),CONCATENATE("R1C",'Mapa final'!$R$13),"")</f>
        <v/>
      </c>
      <c r="AK6" s="49" t="str">
        <f>IF(AND('Mapa final'!$AB$14="Muy Alta",'Mapa final'!$AD$14="Catastrófico"),CONCATENATE("R1C",'Mapa final'!$R$14),"")</f>
        <v/>
      </c>
      <c r="AL6" s="49" t="str">
        <f>IF(AND('Mapa final'!$AB$15="Muy Alta",'Mapa final'!$AD$15="Catastrófico"),CONCATENATE("R1C",'Mapa final'!$R$15),"")</f>
        <v/>
      </c>
      <c r="AM6" s="50" t="str">
        <f>IF(AND('Mapa final'!$AB$16="Muy Alta",'Mapa final'!$AD$16="Catastrófico"),CONCATENATE("R1C",'Mapa final'!$R$16),"")</f>
        <v/>
      </c>
      <c r="AN6" s="82"/>
      <c r="AO6" s="384" t="s">
        <v>76</v>
      </c>
      <c r="AP6" s="385"/>
      <c r="AQ6" s="385"/>
      <c r="AR6" s="385"/>
      <c r="AS6" s="385"/>
      <c r="AT6" s="386"/>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282"/>
      <c r="C7" s="282"/>
      <c r="D7" s="283"/>
      <c r="E7" s="381"/>
      <c r="F7" s="380"/>
      <c r="G7" s="380"/>
      <c r="H7" s="380"/>
      <c r="I7" s="396"/>
      <c r="J7" s="51" t="str">
        <f>IF(AND('Mapa final'!$AB$17="Muy Alta",'Mapa final'!$AD$17="Leve"),CONCATENATE("R2C",'Mapa final'!$R$17),"")</f>
        <v/>
      </c>
      <c r="K7" s="52" t="str">
        <f>IF(AND('Mapa final'!$AB$18="Muy Alta",'Mapa final'!$AD$18="Leve"),CONCATENATE("R2C",'Mapa final'!$R$18),"")</f>
        <v/>
      </c>
      <c r="L7" s="52" t="str">
        <f>IF(AND('Mapa final'!$AB$19="Muy Alta",'Mapa final'!$AD$19="Leve"),CONCATENATE("R2C",'Mapa final'!$R$19),"")</f>
        <v/>
      </c>
      <c r="M7" s="52" t="str">
        <f>IF(AND('Mapa final'!$AB$20="Muy Alta",'Mapa final'!$AD$20="Leve"),CONCATENATE("R2C",'Mapa final'!$R$20),"")</f>
        <v/>
      </c>
      <c r="N7" s="52" t="str">
        <f>IF(AND('Mapa final'!$AB$21="Muy Alta",'Mapa final'!$AD$21="Leve"),CONCATENATE("R2C",'Mapa final'!$R$21),"")</f>
        <v/>
      </c>
      <c r="O7" s="53" t="str">
        <f>IF(AND('Mapa final'!$AB$22="Muy Alta",'Mapa final'!$AD$22="Leve"),CONCATENATE("R2C",'Mapa final'!$R$22),"")</f>
        <v/>
      </c>
      <c r="P7" s="51" t="str">
        <f>IF(AND('Mapa final'!$AB$17="Muy Alta",'Mapa final'!$AD$17="Menor"),CONCATENATE("R2C",'Mapa final'!$R$17),"")</f>
        <v/>
      </c>
      <c r="Q7" s="52" t="str">
        <f>IF(AND('Mapa final'!$AB$18="Muy Alta",'Mapa final'!$AD$18="Menor"),CONCATENATE("R2C",'Mapa final'!$R$18),"")</f>
        <v/>
      </c>
      <c r="R7" s="52" t="str">
        <f>IF(AND('Mapa final'!$AB$19="Muy Alta",'Mapa final'!$AD$19="Menor"),CONCATENATE("R2C",'Mapa final'!$R$19),"")</f>
        <v/>
      </c>
      <c r="S7" s="52" t="str">
        <f>IF(AND('Mapa final'!$AB$20="Muy Alta",'Mapa final'!$AD$20="Menor"),CONCATENATE("R2C",'Mapa final'!$R$20),"")</f>
        <v/>
      </c>
      <c r="T7" s="52" t="str">
        <f>IF(AND('Mapa final'!$AB$21="Muy Alta",'Mapa final'!$AD$21="Menor"),CONCATENATE("R2C",'Mapa final'!$R$21),"")</f>
        <v/>
      </c>
      <c r="U7" s="53" t="str">
        <f>IF(AND('Mapa final'!$AB$22="Muy Alta",'Mapa final'!$AD$22="Menor"),CONCATENATE("R2C",'Mapa final'!$R$22),"")</f>
        <v/>
      </c>
      <c r="V7" s="51" t="str">
        <f>IF(AND('Mapa final'!$AB$17="Muy Alta",'Mapa final'!$AD$17="Moderado"),CONCATENATE("R2C",'Mapa final'!$R$17),"")</f>
        <v/>
      </c>
      <c r="W7" s="52" t="str">
        <f>IF(AND('Mapa final'!$AB$18="Muy Alta",'Mapa final'!$AD$18="Moderado"),CONCATENATE("R2C",'Mapa final'!$R$18),"")</f>
        <v/>
      </c>
      <c r="X7" s="52" t="str">
        <f>IF(AND('Mapa final'!$AB$19="Muy Alta",'Mapa final'!$AD$19="Moderado"),CONCATENATE("R2C",'Mapa final'!$R$19),"")</f>
        <v/>
      </c>
      <c r="Y7" s="52" t="str">
        <f>IF(AND('Mapa final'!$AB$20="Muy Alta",'Mapa final'!$AD$20="Moderado"),CONCATENATE("R2C",'Mapa final'!$R$20),"")</f>
        <v/>
      </c>
      <c r="Z7" s="52" t="str">
        <f>IF(AND('Mapa final'!$AB$21="Muy Alta",'Mapa final'!$AD$21="Moderado"),CONCATENATE("R2C",'Mapa final'!$R$21),"")</f>
        <v/>
      </c>
      <c r="AA7" s="53" t="str">
        <f>IF(AND('Mapa final'!$AB$22="Muy Alta",'Mapa final'!$AD$22="Moderado"),CONCATENATE("R2C",'Mapa final'!$R$22),"")</f>
        <v/>
      </c>
      <c r="AB7" s="51" t="str">
        <f>IF(AND('Mapa final'!$AB$17="Muy Alta",'Mapa final'!$AD$17="Mayor"),CONCATENATE("R2C",'Mapa final'!$R$17),"")</f>
        <v/>
      </c>
      <c r="AC7" s="52" t="str">
        <f>IF(AND('Mapa final'!$AB$18="Muy Alta",'Mapa final'!$AD$18="Mayor"),CONCATENATE("R2C",'Mapa final'!$R$18),"")</f>
        <v/>
      </c>
      <c r="AD7" s="52" t="str">
        <f>IF(AND('Mapa final'!$AB$19="Muy Alta",'Mapa final'!$AD$19="Mayor"),CONCATENATE("R2C",'Mapa final'!$R$19),"")</f>
        <v/>
      </c>
      <c r="AE7" s="52" t="str">
        <f>IF(AND('Mapa final'!$AB$20="Muy Alta",'Mapa final'!$AD$20="Mayor"),CONCATENATE("R2C",'Mapa final'!$R$20),"")</f>
        <v/>
      </c>
      <c r="AF7" s="52" t="str">
        <f>IF(AND('Mapa final'!$AB$21="Muy Alta",'Mapa final'!$AD$21="Mayor"),CONCATENATE("R2C",'Mapa final'!$R$21),"")</f>
        <v/>
      </c>
      <c r="AG7" s="53" t="str">
        <f>IF(AND('Mapa final'!$AB$22="Muy Alta",'Mapa final'!$AD$22="Mayor"),CONCATENATE("R2C",'Mapa final'!$R$22),"")</f>
        <v/>
      </c>
      <c r="AH7" s="54" t="str">
        <f>IF(AND('Mapa final'!$AB$17="Muy Alta",'Mapa final'!$AD$17="Catastrófico"),CONCATENATE("R2C",'Mapa final'!$R$17),"")</f>
        <v/>
      </c>
      <c r="AI7" s="55" t="str">
        <f>IF(AND('Mapa final'!$AB$18="Muy Alta",'Mapa final'!$AD$18="Catastrófico"),CONCATENATE("R2C",'Mapa final'!$R$18),"")</f>
        <v/>
      </c>
      <c r="AJ7" s="55" t="str">
        <f>IF(AND('Mapa final'!$AB$19="Muy Alta",'Mapa final'!$AD$19="Catastrófico"),CONCATENATE("R2C",'Mapa final'!$R$19),"")</f>
        <v/>
      </c>
      <c r="AK7" s="55" t="str">
        <f>IF(AND('Mapa final'!$AB$20="Muy Alta",'Mapa final'!$AD$20="Catastrófico"),CONCATENATE("R2C",'Mapa final'!$R$20),"")</f>
        <v/>
      </c>
      <c r="AL7" s="55" t="str">
        <f>IF(AND('Mapa final'!$AB$21="Muy Alta",'Mapa final'!$AD$21="Catastrófico"),CONCATENATE("R2C",'Mapa final'!$R$21),"")</f>
        <v/>
      </c>
      <c r="AM7" s="56" t="str">
        <f>IF(AND('Mapa final'!$AB$22="Muy Alta",'Mapa final'!$AD$22="Catastrófico"),CONCATENATE("R2C",'Mapa final'!$R$22),"")</f>
        <v/>
      </c>
      <c r="AN7" s="82"/>
      <c r="AO7" s="387"/>
      <c r="AP7" s="388"/>
      <c r="AQ7" s="388"/>
      <c r="AR7" s="388"/>
      <c r="AS7" s="388"/>
      <c r="AT7" s="389"/>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282"/>
      <c r="C8" s="282"/>
      <c r="D8" s="283"/>
      <c r="E8" s="381"/>
      <c r="F8" s="380"/>
      <c r="G8" s="380"/>
      <c r="H8" s="380"/>
      <c r="I8" s="396"/>
      <c r="J8" s="51" t="str">
        <f>IF(AND('Mapa final'!$AB$23="Muy Alta",'Mapa final'!$AD$23="Leve"),CONCATENATE("R3C",'Mapa final'!$R$23),"")</f>
        <v/>
      </c>
      <c r="K8" s="52" t="str">
        <f>IF(AND('Mapa final'!$AB$24="Muy Alta",'Mapa final'!$AD$24="Leve"),CONCATENATE("R3C",'Mapa final'!$R$24),"")</f>
        <v/>
      </c>
      <c r="L8" s="52" t="str">
        <f>IF(AND('Mapa final'!$AB$25="Muy Alta",'Mapa final'!$AD$25="Leve"),CONCATENATE("R3C",'Mapa final'!$R$25),"")</f>
        <v/>
      </c>
      <c r="M8" s="52" t="str">
        <f>IF(AND('Mapa final'!$AB$26="Muy Alta",'Mapa final'!$AD$26="Leve"),CONCATENATE("R3C",'Mapa final'!$R$26),"")</f>
        <v/>
      </c>
      <c r="N8" s="52" t="str">
        <f>IF(AND('Mapa final'!$AB$27="Muy Alta",'Mapa final'!$AD$27="Leve"),CONCATENATE("R3C",'Mapa final'!$R$27),"")</f>
        <v/>
      </c>
      <c r="O8" s="53" t="str">
        <f>IF(AND('Mapa final'!$AB$28="Muy Alta",'Mapa final'!$AD$28="Leve"),CONCATENATE("R3C",'Mapa final'!$R$28),"")</f>
        <v/>
      </c>
      <c r="P8" s="51" t="str">
        <f>IF(AND('Mapa final'!$AB$23="Muy Alta",'Mapa final'!$AD$23="Menor"),CONCATENATE("R3C",'Mapa final'!$R$23),"")</f>
        <v/>
      </c>
      <c r="Q8" s="52" t="str">
        <f>IF(AND('Mapa final'!$AB$24="Muy Alta",'Mapa final'!$AD$24="Menor"),CONCATENATE("R3C",'Mapa final'!$R$24),"")</f>
        <v/>
      </c>
      <c r="R8" s="52" t="str">
        <f>IF(AND('Mapa final'!$AB$25="Muy Alta",'Mapa final'!$AD$25="Menor"),CONCATENATE("R3C",'Mapa final'!$R$25),"")</f>
        <v/>
      </c>
      <c r="S8" s="52" t="str">
        <f>IF(AND('Mapa final'!$AB$26="Muy Alta",'Mapa final'!$AD$26="Menor"),CONCATENATE("R3C",'Mapa final'!$R$26),"")</f>
        <v/>
      </c>
      <c r="T8" s="52" t="str">
        <f>IF(AND('Mapa final'!$AB$27="Muy Alta",'Mapa final'!$AD$27="Menor"),CONCATENATE("R3C",'Mapa final'!$R$27),"")</f>
        <v/>
      </c>
      <c r="U8" s="53" t="str">
        <f>IF(AND('Mapa final'!$AB$28="Muy Alta",'Mapa final'!$AD$28="Menor"),CONCATENATE("R3C",'Mapa final'!$R$28),"")</f>
        <v/>
      </c>
      <c r="V8" s="51" t="str">
        <f>IF(AND('Mapa final'!$AB$23="Muy Alta",'Mapa final'!$AD$23="Moderado"),CONCATENATE("R3C",'Mapa final'!$R$23),"")</f>
        <v/>
      </c>
      <c r="W8" s="52" t="str">
        <f>IF(AND('Mapa final'!$AB$24="Muy Alta",'Mapa final'!$AD$24="Moderado"),CONCATENATE("R3C",'Mapa final'!$R$24),"")</f>
        <v/>
      </c>
      <c r="X8" s="52" t="str">
        <f>IF(AND('Mapa final'!$AB$25="Muy Alta",'Mapa final'!$AD$25="Moderado"),CONCATENATE("R3C",'Mapa final'!$R$25),"")</f>
        <v/>
      </c>
      <c r="Y8" s="52" t="str">
        <f>IF(AND('Mapa final'!$AB$26="Muy Alta",'Mapa final'!$AD$26="Moderado"),CONCATENATE("R3C",'Mapa final'!$R$26),"")</f>
        <v/>
      </c>
      <c r="Z8" s="52" t="str">
        <f>IF(AND('Mapa final'!$AB$27="Muy Alta",'Mapa final'!$AD$27="Moderado"),CONCATENATE("R3C",'Mapa final'!$R$27),"")</f>
        <v/>
      </c>
      <c r="AA8" s="53" t="str">
        <f>IF(AND('Mapa final'!$AB$28="Muy Alta",'Mapa final'!$AD$28="Moderado"),CONCATENATE("R3C",'Mapa final'!$R$28),"")</f>
        <v/>
      </c>
      <c r="AB8" s="51" t="str">
        <f>IF(AND('Mapa final'!$AB$23="Muy Alta",'Mapa final'!$AD$23="Mayor"),CONCATENATE("R3C",'Mapa final'!$R$23),"")</f>
        <v/>
      </c>
      <c r="AC8" s="52" t="str">
        <f>IF(AND('Mapa final'!$AB$24="Muy Alta",'Mapa final'!$AD$24="Mayor"),CONCATENATE("R3C",'Mapa final'!$R$24),"")</f>
        <v/>
      </c>
      <c r="AD8" s="52" t="str">
        <f>IF(AND('Mapa final'!$AB$25="Muy Alta",'Mapa final'!$AD$25="Mayor"),CONCATENATE("R3C",'Mapa final'!$R$25),"")</f>
        <v/>
      </c>
      <c r="AE8" s="52" t="str">
        <f>IF(AND('Mapa final'!$AB$26="Muy Alta",'Mapa final'!$AD$26="Mayor"),CONCATENATE("R3C",'Mapa final'!$R$26),"")</f>
        <v/>
      </c>
      <c r="AF8" s="52" t="str">
        <f>IF(AND('Mapa final'!$AB$27="Muy Alta",'Mapa final'!$AD$27="Mayor"),CONCATENATE("R3C",'Mapa final'!$R$27),"")</f>
        <v/>
      </c>
      <c r="AG8" s="53" t="str">
        <f>IF(AND('Mapa final'!$AB$28="Muy Alta",'Mapa final'!$AD$28="Mayor"),CONCATENATE("R3C",'Mapa final'!$R$28),"")</f>
        <v/>
      </c>
      <c r="AH8" s="54" t="str">
        <f>IF(AND('Mapa final'!$AB$23="Muy Alta",'Mapa final'!$AD$23="Catastrófico"),CONCATENATE("R3C",'Mapa final'!$R$23),"")</f>
        <v/>
      </c>
      <c r="AI8" s="55" t="str">
        <f>IF(AND('Mapa final'!$AB$24="Muy Alta",'Mapa final'!$AD$24="Catastrófico"),CONCATENATE("R3C",'Mapa final'!$R$24),"")</f>
        <v/>
      </c>
      <c r="AJ8" s="55" t="str">
        <f>IF(AND('Mapa final'!$AB$25="Muy Alta",'Mapa final'!$AD$25="Catastrófico"),CONCATENATE("R3C",'Mapa final'!$R$25),"")</f>
        <v/>
      </c>
      <c r="AK8" s="55" t="str">
        <f>IF(AND('Mapa final'!$AB$26="Muy Alta",'Mapa final'!$AD$26="Catastrófico"),CONCATENATE("R3C",'Mapa final'!$R$26),"")</f>
        <v/>
      </c>
      <c r="AL8" s="55" t="str">
        <f>IF(AND('Mapa final'!$AB$27="Muy Alta",'Mapa final'!$AD$27="Catastrófico"),CONCATENATE("R3C",'Mapa final'!$R$27),"")</f>
        <v/>
      </c>
      <c r="AM8" s="56" t="str">
        <f>IF(AND('Mapa final'!$AB$28="Muy Alta",'Mapa final'!$AD$28="Catastrófico"),CONCATENATE("R3C",'Mapa final'!$R$28),"")</f>
        <v/>
      </c>
      <c r="AN8" s="82"/>
      <c r="AO8" s="387"/>
      <c r="AP8" s="388"/>
      <c r="AQ8" s="388"/>
      <c r="AR8" s="388"/>
      <c r="AS8" s="388"/>
      <c r="AT8" s="389"/>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282"/>
      <c r="C9" s="282"/>
      <c r="D9" s="283"/>
      <c r="E9" s="381"/>
      <c r="F9" s="380"/>
      <c r="G9" s="380"/>
      <c r="H9" s="380"/>
      <c r="I9" s="396"/>
      <c r="J9" s="51" t="str">
        <f>IF(AND('Mapa final'!$AB$29="Muy Alta",'Mapa final'!$AD$29="Leve"),CONCATENATE("R4C",'Mapa final'!$R$29),"")</f>
        <v/>
      </c>
      <c r="K9" s="52" t="str">
        <f>IF(AND('Mapa final'!$AB$30="Muy Alta",'Mapa final'!$AD$30="Leve"),CONCATENATE("R4C",'Mapa final'!$R$30),"")</f>
        <v/>
      </c>
      <c r="L9" s="52" t="str">
        <f>IF(AND('Mapa final'!$AB$31="Muy Alta",'Mapa final'!$AD$31="Leve"),CONCATENATE("R4C",'Mapa final'!$R$31),"")</f>
        <v/>
      </c>
      <c r="M9" s="52" t="str">
        <f>IF(AND('Mapa final'!$AB$32="Muy Alta",'Mapa final'!$AD$32="Leve"),CONCATENATE("R4C",'Mapa final'!$R$32),"")</f>
        <v/>
      </c>
      <c r="N9" s="52" t="str">
        <f>IF(AND('Mapa final'!$AB$33="Muy Alta",'Mapa final'!$AD$33="Leve"),CONCATENATE("R4C",'Mapa final'!$R$33),"")</f>
        <v/>
      </c>
      <c r="O9" s="53" t="str">
        <f>IF(AND('Mapa final'!$AB$34="Muy Alta",'Mapa final'!$AD$34="Leve"),CONCATENATE("R4C",'Mapa final'!$R$34),"")</f>
        <v/>
      </c>
      <c r="P9" s="51" t="str">
        <f>IF(AND('Mapa final'!$AB$29="Muy Alta",'Mapa final'!$AD$29="Menor"),CONCATENATE("R4C",'Mapa final'!$R$29),"")</f>
        <v/>
      </c>
      <c r="Q9" s="52" t="str">
        <f>IF(AND('Mapa final'!$AB$30="Muy Alta",'Mapa final'!$AD$30="Menor"),CONCATENATE("R4C",'Mapa final'!$R$30),"")</f>
        <v/>
      </c>
      <c r="R9" s="52" t="str">
        <f>IF(AND('Mapa final'!$AB$31="Muy Alta",'Mapa final'!$AD$31="Menor"),CONCATENATE("R4C",'Mapa final'!$R$31),"")</f>
        <v/>
      </c>
      <c r="S9" s="52" t="str">
        <f>IF(AND('Mapa final'!$AB$32="Muy Alta",'Mapa final'!$AD$32="Menor"),CONCATENATE("R4C",'Mapa final'!$R$32),"")</f>
        <v/>
      </c>
      <c r="T9" s="52" t="str">
        <f>IF(AND('Mapa final'!$AB$33="Muy Alta",'Mapa final'!$AD$33="Menor"),CONCATENATE("R4C",'Mapa final'!$R$33),"")</f>
        <v/>
      </c>
      <c r="U9" s="53" t="str">
        <f>IF(AND('Mapa final'!$AB$34="Muy Alta",'Mapa final'!$AD$34="Menor"),CONCATENATE("R4C",'Mapa final'!$R$34),"")</f>
        <v/>
      </c>
      <c r="V9" s="51" t="str">
        <f>IF(AND('Mapa final'!$AB$29="Muy Alta",'Mapa final'!$AD$29="Moderado"),CONCATENATE("R4C",'Mapa final'!$R$29),"")</f>
        <v/>
      </c>
      <c r="W9" s="52" t="str">
        <f>IF(AND('Mapa final'!$AB$30="Muy Alta",'Mapa final'!$AD$30="Moderado"),CONCATENATE("R4C",'Mapa final'!$R$30),"")</f>
        <v/>
      </c>
      <c r="X9" s="52" t="str">
        <f>IF(AND('Mapa final'!$AB$31="Muy Alta",'Mapa final'!$AD$31="Moderado"),CONCATENATE("R4C",'Mapa final'!$R$31),"")</f>
        <v/>
      </c>
      <c r="Y9" s="52" t="str">
        <f>IF(AND('Mapa final'!$AB$32="Muy Alta",'Mapa final'!$AD$32="Moderado"),CONCATENATE("R4C",'Mapa final'!$R$32),"")</f>
        <v/>
      </c>
      <c r="Z9" s="52" t="str">
        <f>IF(AND('Mapa final'!$AB$33="Muy Alta",'Mapa final'!$AD$33="Moderado"),CONCATENATE("R4C",'Mapa final'!$R$33),"")</f>
        <v/>
      </c>
      <c r="AA9" s="53" t="str">
        <f>IF(AND('Mapa final'!$AB$34="Muy Alta",'Mapa final'!$AD$34="Moderado"),CONCATENATE("R4C",'Mapa final'!$R$34),"")</f>
        <v/>
      </c>
      <c r="AB9" s="51" t="str">
        <f>IF(AND('Mapa final'!$AB$29="Muy Alta",'Mapa final'!$AD$29="Mayor"),CONCATENATE("R4C",'Mapa final'!$R$29),"")</f>
        <v/>
      </c>
      <c r="AC9" s="52" t="str">
        <f>IF(AND('Mapa final'!$AB$30="Muy Alta",'Mapa final'!$AD$30="Mayor"),CONCATENATE("R4C",'Mapa final'!$R$30),"")</f>
        <v/>
      </c>
      <c r="AD9" s="52" t="str">
        <f>IF(AND('Mapa final'!$AB$31="Muy Alta",'Mapa final'!$AD$31="Mayor"),CONCATENATE("R4C",'Mapa final'!$R$31),"")</f>
        <v/>
      </c>
      <c r="AE9" s="52" t="str">
        <f>IF(AND('Mapa final'!$AB$32="Muy Alta",'Mapa final'!$AD$32="Mayor"),CONCATENATE("R4C",'Mapa final'!$R$32),"")</f>
        <v/>
      </c>
      <c r="AF9" s="52" t="str">
        <f>IF(AND('Mapa final'!$AB$33="Muy Alta",'Mapa final'!$AD$33="Mayor"),CONCATENATE("R4C",'Mapa final'!$R$33),"")</f>
        <v/>
      </c>
      <c r="AG9" s="53" t="str">
        <f>IF(AND('Mapa final'!$AB$34="Muy Alta",'Mapa final'!$AD$34="Mayor"),CONCATENATE("R4C",'Mapa final'!$R$34),"")</f>
        <v/>
      </c>
      <c r="AH9" s="54" t="str">
        <f>IF(AND('Mapa final'!$AB$29="Muy Alta",'Mapa final'!$AD$29="Catastrófico"),CONCATENATE("R4C",'Mapa final'!$R$29),"")</f>
        <v/>
      </c>
      <c r="AI9" s="55" t="str">
        <f>IF(AND('Mapa final'!$AB$30="Muy Alta",'Mapa final'!$AD$30="Catastrófico"),CONCATENATE("R4C",'Mapa final'!$R$30),"")</f>
        <v/>
      </c>
      <c r="AJ9" s="55" t="str">
        <f>IF(AND('Mapa final'!$AB$31="Muy Alta",'Mapa final'!$AD$31="Catastrófico"),CONCATENATE("R4C",'Mapa final'!$R$31),"")</f>
        <v/>
      </c>
      <c r="AK9" s="55" t="str">
        <f>IF(AND('Mapa final'!$AB$32="Muy Alta",'Mapa final'!$AD$32="Catastrófico"),CONCATENATE("R4C",'Mapa final'!$R$32),"")</f>
        <v/>
      </c>
      <c r="AL9" s="55" t="str">
        <f>IF(AND('Mapa final'!$AB$33="Muy Alta",'Mapa final'!$AD$33="Catastrófico"),CONCATENATE("R4C",'Mapa final'!$R$33),"")</f>
        <v/>
      </c>
      <c r="AM9" s="56" t="str">
        <f>IF(AND('Mapa final'!$AB$34="Muy Alta",'Mapa final'!$AD$34="Catastrófico"),CONCATENATE("R4C",'Mapa final'!$R$34),"")</f>
        <v/>
      </c>
      <c r="AN9" s="82"/>
      <c r="AO9" s="387"/>
      <c r="AP9" s="388"/>
      <c r="AQ9" s="388"/>
      <c r="AR9" s="388"/>
      <c r="AS9" s="388"/>
      <c r="AT9" s="389"/>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282"/>
      <c r="C10" s="282"/>
      <c r="D10" s="283"/>
      <c r="E10" s="381"/>
      <c r="F10" s="380"/>
      <c r="G10" s="380"/>
      <c r="H10" s="380"/>
      <c r="I10" s="396"/>
      <c r="J10" s="51" t="str">
        <f>IF(AND('Mapa final'!$AB$35="Muy Alta",'Mapa final'!$AD$35="Leve"),CONCATENATE("R5C",'Mapa final'!$R$35),"")</f>
        <v/>
      </c>
      <c r="K10" s="52" t="str">
        <f>IF(AND('Mapa final'!$AB$36="Muy Alta",'Mapa final'!$AD$36="Leve"),CONCATENATE("R5C",'Mapa final'!$R$36),"")</f>
        <v/>
      </c>
      <c r="L10" s="52" t="str">
        <f>IF(AND('Mapa final'!$AB$37="Muy Alta",'Mapa final'!$AD$37="Leve"),CONCATENATE("R5C",'Mapa final'!$R$37),"")</f>
        <v/>
      </c>
      <c r="M10" s="52" t="str">
        <f>IF(AND('Mapa final'!$AB$38="Muy Alta",'Mapa final'!$AD$38="Leve"),CONCATENATE("R5C",'Mapa final'!$R$38),"")</f>
        <v/>
      </c>
      <c r="N10" s="52" t="str">
        <f>IF(AND('Mapa final'!$AB$39="Muy Alta",'Mapa final'!$AD$39="Leve"),CONCATENATE("R5C",'Mapa final'!$R$39),"")</f>
        <v/>
      </c>
      <c r="O10" s="53" t="str">
        <f>IF(AND('Mapa final'!$AB$40="Muy Alta",'Mapa final'!$AD$40="Leve"),CONCATENATE("R5C",'Mapa final'!$R$40),"")</f>
        <v/>
      </c>
      <c r="P10" s="51" t="str">
        <f>IF(AND('Mapa final'!$AB$35="Muy Alta",'Mapa final'!$AD$35="Menor"),CONCATENATE("R5C",'Mapa final'!$R$35),"")</f>
        <v/>
      </c>
      <c r="Q10" s="52" t="str">
        <f>IF(AND('Mapa final'!$AB$36="Muy Alta",'Mapa final'!$AD$36="Menor"),CONCATENATE("R5C",'Mapa final'!$R$36),"")</f>
        <v/>
      </c>
      <c r="R10" s="52" t="str">
        <f>IF(AND('Mapa final'!$AB$37="Muy Alta",'Mapa final'!$AD$37="Menor"),CONCATENATE("R5C",'Mapa final'!$R$37),"")</f>
        <v/>
      </c>
      <c r="S10" s="52" t="str">
        <f>IF(AND('Mapa final'!$AB$38="Muy Alta",'Mapa final'!$AD$38="Menor"),CONCATENATE("R5C",'Mapa final'!$R$38),"")</f>
        <v/>
      </c>
      <c r="T10" s="52" t="str">
        <f>IF(AND('Mapa final'!$AB$39="Muy Alta",'Mapa final'!$AD$39="Menor"),CONCATENATE("R5C",'Mapa final'!$R$39),"")</f>
        <v/>
      </c>
      <c r="U10" s="53" t="str">
        <f>IF(AND('Mapa final'!$AB$40="Muy Alta",'Mapa final'!$AD$40="Menor"),CONCATENATE("R5C",'Mapa final'!$R$40),"")</f>
        <v/>
      </c>
      <c r="V10" s="51" t="str">
        <f>IF(AND('Mapa final'!$AB$35="Muy Alta",'Mapa final'!$AD$35="Moderado"),CONCATENATE("R5C",'Mapa final'!$R$35),"")</f>
        <v/>
      </c>
      <c r="W10" s="52" t="str">
        <f>IF(AND('Mapa final'!$AB$36="Muy Alta",'Mapa final'!$AD$36="Moderado"),CONCATENATE("R5C",'Mapa final'!$R$36),"")</f>
        <v/>
      </c>
      <c r="X10" s="52" t="str">
        <f>IF(AND('Mapa final'!$AB$37="Muy Alta",'Mapa final'!$AD$37="Moderado"),CONCATENATE("R5C",'Mapa final'!$R$37),"")</f>
        <v/>
      </c>
      <c r="Y10" s="52" t="str">
        <f>IF(AND('Mapa final'!$AB$38="Muy Alta",'Mapa final'!$AD$38="Moderado"),CONCATENATE("R5C",'Mapa final'!$R$38),"")</f>
        <v/>
      </c>
      <c r="Z10" s="52" t="str">
        <f>IF(AND('Mapa final'!$AB$39="Muy Alta",'Mapa final'!$AD$39="Moderado"),CONCATENATE("R5C",'Mapa final'!$R$39),"")</f>
        <v/>
      </c>
      <c r="AA10" s="53" t="str">
        <f>IF(AND('Mapa final'!$AB$40="Muy Alta",'Mapa final'!$AD$40="Moderado"),CONCATENATE("R5C",'Mapa final'!$R$40),"")</f>
        <v/>
      </c>
      <c r="AB10" s="51" t="str">
        <f>IF(AND('Mapa final'!$AB$35="Muy Alta",'Mapa final'!$AD$35="Mayor"),CONCATENATE("R5C",'Mapa final'!$R$35),"")</f>
        <v/>
      </c>
      <c r="AC10" s="52" t="str">
        <f>IF(AND('Mapa final'!$AB$36="Muy Alta",'Mapa final'!$AD$36="Mayor"),CONCATENATE("R5C",'Mapa final'!$R$36),"")</f>
        <v/>
      </c>
      <c r="AD10" s="52" t="str">
        <f>IF(AND('Mapa final'!$AB$37="Muy Alta",'Mapa final'!$AD$37="Mayor"),CONCATENATE("R5C",'Mapa final'!$R$37),"")</f>
        <v/>
      </c>
      <c r="AE10" s="52" t="str">
        <f>IF(AND('Mapa final'!$AB$38="Muy Alta",'Mapa final'!$AD$38="Mayor"),CONCATENATE("R5C",'Mapa final'!$R$38),"")</f>
        <v/>
      </c>
      <c r="AF10" s="52" t="str">
        <f>IF(AND('Mapa final'!$AB$39="Muy Alta",'Mapa final'!$AD$39="Mayor"),CONCATENATE("R5C",'Mapa final'!$R$39),"")</f>
        <v/>
      </c>
      <c r="AG10" s="53" t="str">
        <f>IF(AND('Mapa final'!$AB$40="Muy Alta",'Mapa final'!$AD$40="Mayor"),CONCATENATE("R5C",'Mapa final'!$R$40),"")</f>
        <v/>
      </c>
      <c r="AH10" s="54" t="str">
        <f>IF(AND('Mapa final'!$AB$35="Muy Alta",'Mapa final'!$AD$35="Catastrófico"),CONCATENATE("R5C",'Mapa final'!$R$35),"")</f>
        <v/>
      </c>
      <c r="AI10" s="55" t="str">
        <f>IF(AND('Mapa final'!$AB$36="Muy Alta",'Mapa final'!$AD$36="Catastrófico"),CONCATENATE("R5C",'Mapa final'!$R$36),"")</f>
        <v/>
      </c>
      <c r="AJ10" s="55" t="str">
        <f>IF(AND('Mapa final'!$AB$37="Muy Alta",'Mapa final'!$AD$37="Catastrófico"),CONCATENATE("R5C",'Mapa final'!$R$37),"")</f>
        <v/>
      </c>
      <c r="AK10" s="55" t="str">
        <f>IF(AND('Mapa final'!$AB$38="Muy Alta",'Mapa final'!$AD$38="Catastrófico"),CONCATENATE("R5C",'Mapa final'!$R$38),"")</f>
        <v/>
      </c>
      <c r="AL10" s="55" t="str">
        <f>IF(AND('Mapa final'!$AB$39="Muy Alta",'Mapa final'!$AD$39="Catastrófico"),CONCATENATE("R5C",'Mapa final'!$R$39),"")</f>
        <v/>
      </c>
      <c r="AM10" s="56" t="str">
        <f>IF(AND('Mapa final'!$AB$40="Muy Alta",'Mapa final'!$AD$40="Catastrófico"),CONCATENATE("R5C",'Mapa final'!$R$40),"")</f>
        <v/>
      </c>
      <c r="AN10" s="82"/>
      <c r="AO10" s="387"/>
      <c r="AP10" s="388"/>
      <c r="AQ10" s="388"/>
      <c r="AR10" s="388"/>
      <c r="AS10" s="388"/>
      <c r="AT10" s="389"/>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282"/>
      <c r="C11" s="282"/>
      <c r="D11" s="283"/>
      <c r="E11" s="381"/>
      <c r="F11" s="380"/>
      <c r="G11" s="380"/>
      <c r="H11" s="380"/>
      <c r="I11" s="396"/>
      <c r="J11" s="51" t="str">
        <f>IF(AND('Mapa final'!$AB$41="Muy Alta",'Mapa final'!$AD$41="Leve"),CONCATENATE("R6C",'Mapa final'!$R$41),"")</f>
        <v/>
      </c>
      <c r="K11" s="52" t="str">
        <f>IF(AND('Mapa final'!$AB$42="Muy Alta",'Mapa final'!$AD$42="Leve"),CONCATENATE("R6C",'Mapa final'!$R$42),"")</f>
        <v/>
      </c>
      <c r="L11" s="52" t="str">
        <f>IF(AND('Mapa final'!$AB$43="Muy Alta",'Mapa final'!$AD$43="Leve"),CONCATENATE("R6C",'Mapa final'!$R$43),"")</f>
        <v/>
      </c>
      <c r="M11" s="52" t="str">
        <f>IF(AND('Mapa final'!$AB$44="Muy Alta",'Mapa final'!$AD$44="Leve"),CONCATENATE("R6C",'Mapa final'!$R$44),"")</f>
        <v/>
      </c>
      <c r="N11" s="52" t="str">
        <f>IF(AND('Mapa final'!$AB$45="Muy Alta",'Mapa final'!$AD$45="Leve"),CONCATENATE("R6C",'Mapa final'!$R$45),"")</f>
        <v/>
      </c>
      <c r="O11" s="53" t="str">
        <f>IF(AND('Mapa final'!$AB$46="Muy Alta",'Mapa final'!$AD$46="Leve"),CONCATENATE("R6C",'Mapa final'!$R$46),"")</f>
        <v/>
      </c>
      <c r="P11" s="51" t="str">
        <f>IF(AND('Mapa final'!$AB$41="Muy Alta",'Mapa final'!$AD$41="Menor"),CONCATENATE("R6C",'Mapa final'!$R$41),"")</f>
        <v/>
      </c>
      <c r="Q11" s="52" t="str">
        <f>IF(AND('Mapa final'!$AB$42="Muy Alta",'Mapa final'!$AD$42="Menor"),CONCATENATE("R6C",'Mapa final'!$R$42),"")</f>
        <v/>
      </c>
      <c r="R11" s="52" t="str">
        <f>IF(AND('Mapa final'!$AB$43="Muy Alta",'Mapa final'!$AD$43="Menor"),CONCATENATE("R6C",'Mapa final'!$R$43),"")</f>
        <v/>
      </c>
      <c r="S11" s="52" t="str">
        <f>IF(AND('Mapa final'!$AB$44="Muy Alta",'Mapa final'!$AD$44="Menor"),CONCATENATE("R6C",'Mapa final'!$R$44),"")</f>
        <v/>
      </c>
      <c r="T11" s="52" t="str">
        <f>IF(AND('Mapa final'!$AB$45="Muy Alta",'Mapa final'!$AD$45="Menor"),CONCATENATE("R6C",'Mapa final'!$R$45),"")</f>
        <v/>
      </c>
      <c r="U11" s="53" t="str">
        <f>IF(AND('Mapa final'!$AB$46="Muy Alta",'Mapa final'!$AD$46="Menor"),CONCATENATE("R6C",'Mapa final'!$R$46),"")</f>
        <v/>
      </c>
      <c r="V11" s="51" t="str">
        <f>IF(AND('Mapa final'!$AB$41="Muy Alta",'Mapa final'!$AD$41="Moderado"),CONCATENATE("R6C",'Mapa final'!$R$41),"")</f>
        <v/>
      </c>
      <c r="W11" s="52" t="str">
        <f>IF(AND('Mapa final'!$AB$42="Muy Alta",'Mapa final'!$AD$42="Moderado"),CONCATENATE("R6C",'Mapa final'!$R$42),"")</f>
        <v/>
      </c>
      <c r="X11" s="52" t="str">
        <f>IF(AND('Mapa final'!$AB$43="Muy Alta",'Mapa final'!$AD$43="Moderado"),CONCATENATE("R6C",'Mapa final'!$R$43),"")</f>
        <v/>
      </c>
      <c r="Y11" s="52" t="str">
        <f>IF(AND('Mapa final'!$AB$44="Muy Alta",'Mapa final'!$AD$44="Moderado"),CONCATENATE("R6C",'Mapa final'!$R$44),"")</f>
        <v/>
      </c>
      <c r="Z11" s="52" t="str">
        <f>IF(AND('Mapa final'!$AB$45="Muy Alta",'Mapa final'!$AD$45="Moderado"),CONCATENATE("R6C",'Mapa final'!$R$45),"")</f>
        <v/>
      </c>
      <c r="AA11" s="53" t="str">
        <f>IF(AND('Mapa final'!$AB$46="Muy Alta",'Mapa final'!$AD$46="Moderado"),CONCATENATE("R6C",'Mapa final'!$R$46),"")</f>
        <v/>
      </c>
      <c r="AB11" s="51" t="str">
        <f>IF(AND('Mapa final'!$AB$41="Muy Alta",'Mapa final'!$AD$41="Mayor"),CONCATENATE("R6C",'Mapa final'!$R$41),"")</f>
        <v/>
      </c>
      <c r="AC11" s="52" t="str">
        <f>IF(AND('Mapa final'!$AB$42="Muy Alta",'Mapa final'!$AD$42="Mayor"),CONCATENATE("R6C",'Mapa final'!$R$42),"")</f>
        <v/>
      </c>
      <c r="AD11" s="52" t="str">
        <f>IF(AND('Mapa final'!$AB$43="Muy Alta",'Mapa final'!$AD$43="Mayor"),CONCATENATE("R6C",'Mapa final'!$R$43),"")</f>
        <v/>
      </c>
      <c r="AE11" s="52" t="str">
        <f>IF(AND('Mapa final'!$AB$44="Muy Alta",'Mapa final'!$AD$44="Mayor"),CONCATENATE("R6C",'Mapa final'!$R$44),"")</f>
        <v/>
      </c>
      <c r="AF11" s="52" t="str">
        <f>IF(AND('Mapa final'!$AB$45="Muy Alta",'Mapa final'!$AD$45="Mayor"),CONCATENATE("R6C",'Mapa final'!$R$45),"")</f>
        <v/>
      </c>
      <c r="AG11" s="53" t="str">
        <f>IF(AND('Mapa final'!$AB$46="Muy Alta",'Mapa final'!$AD$46="Mayor"),CONCATENATE("R6C",'Mapa final'!$R$46),"")</f>
        <v/>
      </c>
      <c r="AH11" s="54" t="str">
        <f>IF(AND('Mapa final'!$AB$41="Muy Alta",'Mapa final'!$AD$41="Catastrófico"),CONCATENATE("R6C",'Mapa final'!$R$41),"")</f>
        <v/>
      </c>
      <c r="AI11" s="55" t="str">
        <f>IF(AND('Mapa final'!$AB$42="Muy Alta",'Mapa final'!$AD$42="Catastrófico"),CONCATENATE("R6C",'Mapa final'!$R$42),"")</f>
        <v/>
      </c>
      <c r="AJ11" s="55" t="str">
        <f>IF(AND('Mapa final'!$AB$43="Muy Alta",'Mapa final'!$AD$43="Catastrófico"),CONCATENATE("R6C",'Mapa final'!$R$43),"")</f>
        <v/>
      </c>
      <c r="AK11" s="55" t="str">
        <f>IF(AND('Mapa final'!$AB$44="Muy Alta",'Mapa final'!$AD$44="Catastrófico"),CONCATENATE("R6C",'Mapa final'!$R$44),"")</f>
        <v/>
      </c>
      <c r="AL11" s="55" t="str">
        <f>IF(AND('Mapa final'!$AB$45="Muy Alta",'Mapa final'!$AD$45="Catastrófico"),CONCATENATE("R6C",'Mapa final'!$R$45),"")</f>
        <v/>
      </c>
      <c r="AM11" s="56" t="str">
        <f>IF(AND('Mapa final'!$AB$46="Muy Alta",'Mapa final'!$AD$46="Catastrófico"),CONCATENATE("R6C",'Mapa final'!$R$46),"")</f>
        <v/>
      </c>
      <c r="AN11" s="82"/>
      <c r="AO11" s="387"/>
      <c r="AP11" s="388"/>
      <c r="AQ11" s="388"/>
      <c r="AR11" s="388"/>
      <c r="AS11" s="388"/>
      <c r="AT11" s="389"/>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282"/>
      <c r="C12" s="282"/>
      <c r="D12" s="283"/>
      <c r="E12" s="381"/>
      <c r="F12" s="380"/>
      <c r="G12" s="380"/>
      <c r="H12" s="380"/>
      <c r="I12" s="396"/>
      <c r="J12" s="51" t="str">
        <f>IF(AND('Mapa final'!$AB$47="Muy Alta",'Mapa final'!$AD$47="Leve"),CONCATENATE("R7C",'Mapa final'!$R$47),"")</f>
        <v/>
      </c>
      <c r="K12" s="52" t="str">
        <f>IF(AND('Mapa final'!$AB$48="Muy Alta",'Mapa final'!$AD$48="Leve"),CONCATENATE("R7C",'Mapa final'!$R$48),"")</f>
        <v/>
      </c>
      <c r="L12" s="52" t="str">
        <f>IF(AND('Mapa final'!$AB$49="Muy Alta",'Mapa final'!$AD$49="Leve"),CONCATENATE("R7C",'Mapa final'!$R$49),"")</f>
        <v/>
      </c>
      <c r="M12" s="52" t="str">
        <f>IF(AND('Mapa final'!$AB$50="Muy Alta",'Mapa final'!$AD$50="Leve"),CONCATENATE("R7C",'Mapa final'!$R$50),"")</f>
        <v/>
      </c>
      <c r="N12" s="52" t="str">
        <f>IF(AND('Mapa final'!$AB$51="Muy Alta",'Mapa final'!$AD$51="Leve"),CONCATENATE("R7C",'Mapa final'!$R$51),"")</f>
        <v/>
      </c>
      <c r="O12" s="53" t="str">
        <f>IF(AND('Mapa final'!$AB$52="Muy Alta",'Mapa final'!$AD$52="Leve"),CONCATENATE("R7C",'Mapa final'!$R$52),"")</f>
        <v/>
      </c>
      <c r="P12" s="51" t="str">
        <f>IF(AND('Mapa final'!$AB$47="Muy Alta",'Mapa final'!$AD$47="Menor"),CONCATENATE("R7C",'Mapa final'!$R$47),"")</f>
        <v/>
      </c>
      <c r="Q12" s="52" t="str">
        <f>IF(AND('Mapa final'!$AB$48="Muy Alta",'Mapa final'!$AD$48="Menor"),CONCATENATE("R7C",'Mapa final'!$R$48),"")</f>
        <v/>
      </c>
      <c r="R12" s="52" t="str">
        <f>IF(AND('Mapa final'!$AB$49="Muy Alta",'Mapa final'!$AD$49="Menor"),CONCATENATE("R7C",'Mapa final'!$R$49),"")</f>
        <v/>
      </c>
      <c r="S12" s="52" t="str">
        <f>IF(AND('Mapa final'!$AB$50="Muy Alta",'Mapa final'!$AD$50="Menor"),CONCATENATE("R7C",'Mapa final'!$R$50),"")</f>
        <v/>
      </c>
      <c r="T12" s="52" t="str">
        <f>IF(AND('Mapa final'!$AB$51="Muy Alta",'Mapa final'!$AD$51="Menor"),CONCATENATE("R7C",'Mapa final'!$R$51),"")</f>
        <v/>
      </c>
      <c r="U12" s="53" t="str">
        <f>IF(AND('Mapa final'!$AB$52="Muy Alta",'Mapa final'!$AD$52="Menor"),CONCATENATE("R7C",'Mapa final'!$R$52),"")</f>
        <v/>
      </c>
      <c r="V12" s="51" t="str">
        <f>IF(AND('Mapa final'!$AB$47="Muy Alta",'Mapa final'!$AD$47="Moderado"),CONCATENATE("R7C",'Mapa final'!$R$47),"")</f>
        <v/>
      </c>
      <c r="W12" s="52" t="str">
        <f>IF(AND('Mapa final'!$AB$48="Muy Alta",'Mapa final'!$AD$48="Moderado"),CONCATENATE("R7C",'Mapa final'!$R$48),"")</f>
        <v/>
      </c>
      <c r="X12" s="52" t="str">
        <f>IF(AND('Mapa final'!$AB$49="Muy Alta",'Mapa final'!$AD$49="Moderado"),CONCATENATE("R7C",'Mapa final'!$R$49),"")</f>
        <v/>
      </c>
      <c r="Y12" s="52" t="str">
        <f>IF(AND('Mapa final'!$AB$50="Muy Alta",'Mapa final'!$AD$50="Moderado"),CONCATENATE("R7C",'Mapa final'!$R$50),"")</f>
        <v/>
      </c>
      <c r="Z12" s="52" t="str">
        <f>IF(AND('Mapa final'!$AB$51="Muy Alta",'Mapa final'!$AD$51="Moderado"),CONCATENATE("R7C",'Mapa final'!$R$51),"")</f>
        <v/>
      </c>
      <c r="AA12" s="53" t="str">
        <f>IF(AND('Mapa final'!$AB$52="Muy Alta",'Mapa final'!$AD$52="Moderado"),CONCATENATE("R7C",'Mapa final'!$R$52),"")</f>
        <v/>
      </c>
      <c r="AB12" s="51" t="str">
        <f>IF(AND('Mapa final'!$AB$47="Muy Alta",'Mapa final'!$AD$47="Mayor"),CONCATENATE("R7C",'Mapa final'!$R$47),"")</f>
        <v/>
      </c>
      <c r="AC12" s="52" t="str">
        <f>IF(AND('Mapa final'!$AB$48="Muy Alta",'Mapa final'!$AD$48="Mayor"),CONCATENATE("R7C",'Mapa final'!$R$48),"")</f>
        <v/>
      </c>
      <c r="AD12" s="52" t="str">
        <f>IF(AND('Mapa final'!$AB$49="Muy Alta",'Mapa final'!$AD$49="Mayor"),CONCATENATE("R7C",'Mapa final'!$R$49),"")</f>
        <v/>
      </c>
      <c r="AE12" s="52" t="str">
        <f>IF(AND('Mapa final'!$AB$50="Muy Alta",'Mapa final'!$AD$50="Mayor"),CONCATENATE("R7C",'Mapa final'!$R$50),"")</f>
        <v/>
      </c>
      <c r="AF12" s="52" t="str">
        <f>IF(AND('Mapa final'!$AB$51="Muy Alta",'Mapa final'!$AD$51="Mayor"),CONCATENATE("R7C",'Mapa final'!$R$51),"")</f>
        <v/>
      </c>
      <c r="AG12" s="53" t="str">
        <f>IF(AND('Mapa final'!$AB$52="Muy Alta",'Mapa final'!$AD$52="Mayor"),CONCATENATE("R7C",'Mapa final'!$R$52),"")</f>
        <v/>
      </c>
      <c r="AH12" s="54" t="str">
        <f>IF(AND('Mapa final'!$AB$47="Muy Alta",'Mapa final'!$AD$47="Catastrófico"),CONCATENATE("R7C",'Mapa final'!$R$47),"")</f>
        <v/>
      </c>
      <c r="AI12" s="55" t="str">
        <f>IF(AND('Mapa final'!$AB$48="Muy Alta",'Mapa final'!$AD$48="Catastrófico"),CONCATENATE("R7C",'Mapa final'!$R$48),"")</f>
        <v/>
      </c>
      <c r="AJ12" s="55" t="str">
        <f>IF(AND('Mapa final'!$AB$49="Muy Alta",'Mapa final'!$AD$49="Catastrófico"),CONCATENATE("R7C",'Mapa final'!$R$49),"")</f>
        <v/>
      </c>
      <c r="AK12" s="55" t="str">
        <f>IF(AND('Mapa final'!$AB$50="Muy Alta",'Mapa final'!$AD$50="Catastrófico"),CONCATENATE("R7C",'Mapa final'!$R$50),"")</f>
        <v/>
      </c>
      <c r="AL12" s="55" t="str">
        <f>IF(AND('Mapa final'!$AB$51="Muy Alta",'Mapa final'!$AD$51="Catastrófico"),CONCATENATE("R7C",'Mapa final'!$R$51),"")</f>
        <v/>
      </c>
      <c r="AM12" s="56" t="str">
        <f>IF(AND('Mapa final'!$AB$52="Muy Alta",'Mapa final'!$AD$52="Catastrófico"),CONCATENATE("R7C",'Mapa final'!$R$52),"")</f>
        <v/>
      </c>
      <c r="AN12" s="82"/>
      <c r="AO12" s="387"/>
      <c r="AP12" s="388"/>
      <c r="AQ12" s="388"/>
      <c r="AR12" s="388"/>
      <c r="AS12" s="388"/>
      <c r="AT12" s="389"/>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282"/>
      <c r="C13" s="282"/>
      <c r="D13" s="283"/>
      <c r="E13" s="381"/>
      <c r="F13" s="380"/>
      <c r="G13" s="380"/>
      <c r="H13" s="380"/>
      <c r="I13" s="396"/>
      <c r="J13" s="51" t="str">
        <f>IF(AND('Mapa final'!$AB$53="Muy Alta",'Mapa final'!$AD$53="Leve"),CONCATENATE("R8C",'Mapa final'!$R$53),"")</f>
        <v/>
      </c>
      <c r="K13" s="52" t="str">
        <f>IF(AND('Mapa final'!$AB$54="Muy Alta",'Mapa final'!$AD$54="Leve"),CONCATENATE("R8C",'Mapa final'!$R$54),"")</f>
        <v/>
      </c>
      <c r="L13" s="52" t="str">
        <f>IF(AND('Mapa final'!$AB$55="Muy Alta",'Mapa final'!$AD$55="Leve"),CONCATENATE("R8C",'Mapa final'!$R$55),"")</f>
        <v/>
      </c>
      <c r="M13" s="52" t="str">
        <f>IF(AND('Mapa final'!$AB$56="Muy Alta",'Mapa final'!$AD$56="Leve"),CONCATENATE("R8C",'Mapa final'!$R$56),"")</f>
        <v/>
      </c>
      <c r="N13" s="52" t="str">
        <f>IF(AND('Mapa final'!$AB$57="Muy Alta",'Mapa final'!$AD$57="Leve"),CONCATENATE("R8C",'Mapa final'!$R$57),"")</f>
        <v/>
      </c>
      <c r="O13" s="53" t="str">
        <f>IF(AND('Mapa final'!$AB$58="Muy Alta",'Mapa final'!$AD$58="Leve"),CONCATENATE("R8C",'Mapa final'!$R$58),"")</f>
        <v/>
      </c>
      <c r="P13" s="51" t="str">
        <f>IF(AND('Mapa final'!$AB$53="Muy Alta",'Mapa final'!$AD$53="Menor"),CONCATENATE("R8C",'Mapa final'!$R$53),"")</f>
        <v/>
      </c>
      <c r="Q13" s="52" t="str">
        <f>IF(AND('Mapa final'!$AB$54="Muy Alta",'Mapa final'!$AD$54="Menor"),CONCATENATE("R8C",'Mapa final'!$R$54),"")</f>
        <v/>
      </c>
      <c r="R13" s="52" t="str">
        <f>IF(AND('Mapa final'!$AB$55="Muy Alta",'Mapa final'!$AD$55="Menor"),CONCATENATE("R8C",'Mapa final'!$R$55),"")</f>
        <v/>
      </c>
      <c r="S13" s="52" t="str">
        <f>IF(AND('Mapa final'!$AB$56="Muy Alta",'Mapa final'!$AD$56="Menor"),CONCATENATE("R8C",'Mapa final'!$R$56),"")</f>
        <v/>
      </c>
      <c r="T13" s="52" t="str">
        <f>IF(AND('Mapa final'!$AB$57="Muy Alta",'Mapa final'!$AD$57="Menor"),CONCATENATE("R8C",'Mapa final'!$R$57),"")</f>
        <v/>
      </c>
      <c r="U13" s="53" t="str">
        <f>IF(AND('Mapa final'!$AB$58="Muy Alta",'Mapa final'!$AD$58="Menor"),CONCATENATE("R8C",'Mapa final'!$R$58),"")</f>
        <v/>
      </c>
      <c r="V13" s="51" t="str">
        <f>IF(AND('Mapa final'!$AB$53="Muy Alta",'Mapa final'!$AD$53="Moderado"),CONCATENATE("R8C",'Mapa final'!$R$53),"")</f>
        <v/>
      </c>
      <c r="W13" s="52" t="str">
        <f>IF(AND('Mapa final'!$AB$54="Muy Alta",'Mapa final'!$AD$54="Moderado"),CONCATENATE("R8C",'Mapa final'!$R$54),"")</f>
        <v/>
      </c>
      <c r="X13" s="52" t="str">
        <f>IF(AND('Mapa final'!$AB$55="Muy Alta",'Mapa final'!$AD$55="Moderado"),CONCATENATE("R8C",'Mapa final'!$R$55),"")</f>
        <v/>
      </c>
      <c r="Y13" s="52" t="str">
        <f>IF(AND('Mapa final'!$AB$56="Muy Alta",'Mapa final'!$AD$56="Moderado"),CONCATENATE("R8C",'Mapa final'!$R$56),"")</f>
        <v/>
      </c>
      <c r="Z13" s="52" t="str">
        <f>IF(AND('Mapa final'!$AB$57="Muy Alta",'Mapa final'!$AD$57="Moderado"),CONCATENATE("R8C",'Mapa final'!$R$57),"")</f>
        <v/>
      </c>
      <c r="AA13" s="53" t="str">
        <f>IF(AND('Mapa final'!$AB$58="Muy Alta",'Mapa final'!$AD$58="Moderado"),CONCATENATE("R8C",'Mapa final'!$R$58),"")</f>
        <v/>
      </c>
      <c r="AB13" s="51" t="str">
        <f>IF(AND('Mapa final'!$AB$53="Muy Alta",'Mapa final'!$AD$53="Mayor"),CONCATENATE("R8C",'Mapa final'!$R$53),"")</f>
        <v/>
      </c>
      <c r="AC13" s="52" t="str">
        <f>IF(AND('Mapa final'!$AB$54="Muy Alta",'Mapa final'!$AD$54="Mayor"),CONCATENATE("R8C",'Mapa final'!$R$54),"")</f>
        <v/>
      </c>
      <c r="AD13" s="52" t="str">
        <f>IF(AND('Mapa final'!$AB$55="Muy Alta",'Mapa final'!$AD$55="Mayor"),CONCATENATE("R8C",'Mapa final'!$R$55),"")</f>
        <v/>
      </c>
      <c r="AE13" s="52" t="str">
        <f>IF(AND('Mapa final'!$AB$56="Muy Alta",'Mapa final'!$AD$56="Mayor"),CONCATENATE("R8C",'Mapa final'!$R$56),"")</f>
        <v/>
      </c>
      <c r="AF13" s="52" t="str">
        <f>IF(AND('Mapa final'!$AB$57="Muy Alta",'Mapa final'!$AD$57="Mayor"),CONCATENATE("R8C",'Mapa final'!$R$57),"")</f>
        <v/>
      </c>
      <c r="AG13" s="53" t="str">
        <f>IF(AND('Mapa final'!$AB$58="Muy Alta",'Mapa final'!$AD$58="Mayor"),CONCATENATE("R8C",'Mapa final'!$R$58),"")</f>
        <v/>
      </c>
      <c r="AH13" s="54" t="str">
        <f>IF(AND('Mapa final'!$AB$53="Muy Alta",'Mapa final'!$AD$53="Catastrófico"),CONCATENATE("R8C",'Mapa final'!$R$53),"")</f>
        <v/>
      </c>
      <c r="AI13" s="55" t="str">
        <f>IF(AND('Mapa final'!$AB$54="Muy Alta",'Mapa final'!$AD$54="Catastrófico"),CONCATENATE("R8C",'Mapa final'!$R$54),"")</f>
        <v/>
      </c>
      <c r="AJ13" s="55" t="str">
        <f>IF(AND('Mapa final'!$AB$55="Muy Alta",'Mapa final'!$AD$55="Catastrófico"),CONCATENATE("R8C",'Mapa final'!$R$55),"")</f>
        <v/>
      </c>
      <c r="AK13" s="55" t="str">
        <f>IF(AND('Mapa final'!$AB$56="Muy Alta",'Mapa final'!$AD$56="Catastrófico"),CONCATENATE("R8C",'Mapa final'!$R$56),"")</f>
        <v/>
      </c>
      <c r="AL13" s="55" t="str">
        <f>IF(AND('Mapa final'!$AB$57="Muy Alta",'Mapa final'!$AD$57="Catastrófico"),CONCATENATE("R8C",'Mapa final'!$R$57),"")</f>
        <v/>
      </c>
      <c r="AM13" s="56" t="str">
        <f>IF(AND('Mapa final'!$AB$58="Muy Alta",'Mapa final'!$AD$58="Catastrófico"),CONCATENATE("R8C",'Mapa final'!$R$58),"")</f>
        <v/>
      </c>
      <c r="AN13" s="82"/>
      <c r="AO13" s="387"/>
      <c r="AP13" s="388"/>
      <c r="AQ13" s="388"/>
      <c r="AR13" s="388"/>
      <c r="AS13" s="388"/>
      <c r="AT13" s="389"/>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282"/>
      <c r="C14" s="282"/>
      <c r="D14" s="283"/>
      <c r="E14" s="381"/>
      <c r="F14" s="380"/>
      <c r="G14" s="380"/>
      <c r="H14" s="380"/>
      <c r="I14" s="396"/>
      <c r="J14" s="51" t="str">
        <f>IF(AND('Mapa final'!$AB$59="Muy Alta",'Mapa final'!$AD$59="Leve"),CONCATENATE("R9C",'Mapa final'!$R$59),"")</f>
        <v/>
      </c>
      <c r="K14" s="52" t="str">
        <f>IF(AND('Mapa final'!$AB$60="Muy Alta",'Mapa final'!$AD$60="Leve"),CONCATENATE("R9C",'Mapa final'!$R$60),"")</f>
        <v/>
      </c>
      <c r="L14" s="52" t="str">
        <f>IF(AND('Mapa final'!$AB$61="Muy Alta",'Mapa final'!$AD$61="Leve"),CONCATENATE("R9C",'Mapa final'!$R$61),"")</f>
        <v/>
      </c>
      <c r="M14" s="52" t="str">
        <f>IF(AND('Mapa final'!$AB$62="Muy Alta",'Mapa final'!$AD$62="Leve"),CONCATENATE("R9C",'Mapa final'!$R$62),"")</f>
        <v/>
      </c>
      <c r="N14" s="52" t="str">
        <f>IF(AND('Mapa final'!$AB$63="Muy Alta",'Mapa final'!$AD$63="Leve"),CONCATENATE("R9C",'Mapa final'!$R$63),"")</f>
        <v/>
      </c>
      <c r="O14" s="53" t="str">
        <f>IF(AND('Mapa final'!$AB$64="Muy Alta",'Mapa final'!$AD$64="Leve"),CONCATENATE("R9C",'Mapa final'!$R$64),"")</f>
        <v/>
      </c>
      <c r="P14" s="51" t="str">
        <f>IF(AND('Mapa final'!$AB$59="Muy Alta",'Mapa final'!$AD$59="Menor"),CONCATENATE("R9C",'Mapa final'!$R$59),"")</f>
        <v/>
      </c>
      <c r="Q14" s="52" t="str">
        <f>IF(AND('Mapa final'!$AB$60="Muy Alta",'Mapa final'!$AD$60="Menor"),CONCATENATE("R9C",'Mapa final'!$R$60),"")</f>
        <v/>
      </c>
      <c r="R14" s="52" t="str">
        <f>IF(AND('Mapa final'!$AB$61="Muy Alta",'Mapa final'!$AD$61="Menor"),CONCATENATE("R9C",'Mapa final'!$R$61),"")</f>
        <v/>
      </c>
      <c r="S14" s="52" t="str">
        <f>IF(AND('Mapa final'!$AB$62="Muy Alta",'Mapa final'!$AD$62="Menor"),CONCATENATE("R9C",'Mapa final'!$R$62),"")</f>
        <v/>
      </c>
      <c r="T14" s="52" t="str">
        <f>IF(AND('Mapa final'!$AB$63="Muy Alta",'Mapa final'!$AD$63="Menor"),CONCATENATE("R9C",'Mapa final'!$R$63),"")</f>
        <v/>
      </c>
      <c r="U14" s="53" t="str">
        <f>IF(AND('Mapa final'!$AB$64="Muy Alta",'Mapa final'!$AD$64="Menor"),CONCATENATE("R9C",'Mapa final'!$R$64),"")</f>
        <v/>
      </c>
      <c r="V14" s="51" t="str">
        <f>IF(AND('Mapa final'!$AB$59="Muy Alta",'Mapa final'!$AD$59="Moderado"),CONCATENATE("R9C",'Mapa final'!$R$59),"")</f>
        <v/>
      </c>
      <c r="W14" s="52" t="str">
        <f>IF(AND('Mapa final'!$AB$60="Muy Alta",'Mapa final'!$AD$60="Moderado"),CONCATENATE("R9C",'Mapa final'!$R$60),"")</f>
        <v/>
      </c>
      <c r="X14" s="52" t="str">
        <f>IF(AND('Mapa final'!$AB$61="Muy Alta",'Mapa final'!$AD$61="Moderado"),CONCATENATE("R9C",'Mapa final'!$R$61),"")</f>
        <v/>
      </c>
      <c r="Y14" s="52" t="str">
        <f>IF(AND('Mapa final'!$AB$62="Muy Alta",'Mapa final'!$AD$62="Moderado"),CONCATENATE("R9C",'Mapa final'!$R$62),"")</f>
        <v/>
      </c>
      <c r="Z14" s="52" t="str">
        <f>IF(AND('Mapa final'!$AB$63="Muy Alta",'Mapa final'!$AD$63="Moderado"),CONCATENATE("R9C",'Mapa final'!$R$63),"")</f>
        <v/>
      </c>
      <c r="AA14" s="53" t="str">
        <f>IF(AND('Mapa final'!$AB$64="Muy Alta",'Mapa final'!$AD$64="Moderado"),CONCATENATE("R9C",'Mapa final'!$R$64),"")</f>
        <v/>
      </c>
      <c r="AB14" s="51" t="str">
        <f>IF(AND('Mapa final'!$AB$59="Muy Alta",'Mapa final'!$AD$59="Mayor"),CONCATENATE("R9C",'Mapa final'!$R$59),"")</f>
        <v/>
      </c>
      <c r="AC14" s="52" t="str">
        <f>IF(AND('Mapa final'!$AB$60="Muy Alta",'Mapa final'!$AD$60="Mayor"),CONCATENATE("R9C",'Mapa final'!$R$60),"")</f>
        <v/>
      </c>
      <c r="AD14" s="52" t="str">
        <f>IF(AND('Mapa final'!$AB$61="Muy Alta",'Mapa final'!$AD$61="Mayor"),CONCATENATE("R9C",'Mapa final'!$R$61),"")</f>
        <v/>
      </c>
      <c r="AE14" s="52" t="str">
        <f>IF(AND('Mapa final'!$AB$62="Muy Alta",'Mapa final'!$AD$62="Mayor"),CONCATENATE("R9C",'Mapa final'!$R$62),"")</f>
        <v/>
      </c>
      <c r="AF14" s="52" t="str">
        <f>IF(AND('Mapa final'!$AB$63="Muy Alta",'Mapa final'!$AD$63="Mayor"),CONCATENATE("R9C",'Mapa final'!$R$63),"")</f>
        <v/>
      </c>
      <c r="AG14" s="53" t="str">
        <f>IF(AND('Mapa final'!$AB$64="Muy Alta",'Mapa final'!$AD$64="Mayor"),CONCATENATE("R9C",'Mapa final'!$R$64),"")</f>
        <v/>
      </c>
      <c r="AH14" s="54" t="str">
        <f>IF(AND('Mapa final'!$AB$59="Muy Alta",'Mapa final'!$AD$59="Catastrófico"),CONCATENATE("R9C",'Mapa final'!$R$59),"")</f>
        <v/>
      </c>
      <c r="AI14" s="55" t="str">
        <f>IF(AND('Mapa final'!$AB$60="Muy Alta",'Mapa final'!$AD$60="Catastrófico"),CONCATENATE("R9C",'Mapa final'!$R$60),"")</f>
        <v/>
      </c>
      <c r="AJ14" s="55" t="str">
        <f>IF(AND('Mapa final'!$AB$61="Muy Alta",'Mapa final'!$AD$61="Catastrófico"),CONCATENATE("R9C",'Mapa final'!$R$61),"")</f>
        <v/>
      </c>
      <c r="AK14" s="55" t="str">
        <f>IF(AND('Mapa final'!$AB$62="Muy Alta",'Mapa final'!$AD$62="Catastrófico"),CONCATENATE("R9C",'Mapa final'!$R$62),"")</f>
        <v/>
      </c>
      <c r="AL14" s="55" t="str">
        <f>IF(AND('Mapa final'!$AB$63="Muy Alta",'Mapa final'!$AD$63="Catastrófico"),CONCATENATE("R9C",'Mapa final'!$R$63),"")</f>
        <v/>
      </c>
      <c r="AM14" s="56" t="str">
        <f>IF(AND('Mapa final'!$AB$64="Muy Alta",'Mapa final'!$AD$64="Catastrófico"),CONCATENATE("R9C",'Mapa final'!$R$64),"")</f>
        <v/>
      </c>
      <c r="AN14" s="82"/>
      <c r="AO14" s="387"/>
      <c r="AP14" s="388"/>
      <c r="AQ14" s="388"/>
      <c r="AR14" s="388"/>
      <c r="AS14" s="388"/>
      <c r="AT14" s="389"/>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282"/>
      <c r="C15" s="282"/>
      <c r="D15" s="283"/>
      <c r="E15" s="382"/>
      <c r="F15" s="383"/>
      <c r="G15" s="383"/>
      <c r="H15" s="383"/>
      <c r="I15" s="397"/>
      <c r="J15" s="57" t="str">
        <f>IF(AND('Mapa final'!$AB$65="Muy Alta",'Mapa final'!$AD$65="Leve"),CONCATENATE("R10C",'Mapa final'!$R$65),"")</f>
        <v/>
      </c>
      <c r="K15" s="58" t="str">
        <f>IF(AND('Mapa final'!$AB$66="Muy Alta",'Mapa final'!$AD$66="Leve"),CONCATENATE("R10C",'Mapa final'!$R$66),"")</f>
        <v/>
      </c>
      <c r="L15" s="58" t="str">
        <f>IF(AND('Mapa final'!$AB$67="Muy Alta",'Mapa final'!$AD$67="Leve"),CONCATENATE("R10C",'Mapa final'!$R$67),"")</f>
        <v/>
      </c>
      <c r="M15" s="58" t="str">
        <f>IF(AND('Mapa final'!$AB$68="Muy Alta",'Mapa final'!$AD$68="Leve"),CONCATENATE("R10C",'Mapa final'!$R$68),"")</f>
        <v/>
      </c>
      <c r="N15" s="58" t="str">
        <f>IF(AND('Mapa final'!$AB$69="Muy Alta",'Mapa final'!$AD$69="Leve"),CONCATENATE("R10C",'Mapa final'!$R$69),"")</f>
        <v/>
      </c>
      <c r="O15" s="59" t="str">
        <f>IF(AND('Mapa final'!$AB$70="Muy Alta",'Mapa final'!$AD$70="Leve"),CONCATENATE("R10C",'Mapa final'!$R$70),"")</f>
        <v/>
      </c>
      <c r="P15" s="51" t="str">
        <f>IF(AND('Mapa final'!$AB$65="Muy Alta",'Mapa final'!$AD$65="Menor"),CONCATENATE("R10C",'Mapa final'!$R$65),"")</f>
        <v/>
      </c>
      <c r="Q15" s="52" t="str">
        <f>IF(AND('Mapa final'!$AB$66="Muy Alta",'Mapa final'!$AD$66="Menor"),CONCATENATE("R10C",'Mapa final'!$R$66),"")</f>
        <v/>
      </c>
      <c r="R15" s="52" t="str">
        <f>IF(AND('Mapa final'!$AB$67="Muy Alta",'Mapa final'!$AD$67="Menor"),CONCATENATE("R10C",'Mapa final'!$R$67),"")</f>
        <v/>
      </c>
      <c r="S15" s="52" t="str">
        <f>IF(AND('Mapa final'!$AB$68="Muy Alta",'Mapa final'!$AD$68="Menor"),CONCATENATE("R10C",'Mapa final'!$R$68),"")</f>
        <v/>
      </c>
      <c r="T15" s="52" t="str">
        <f>IF(AND('Mapa final'!$AB$69="Muy Alta",'Mapa final'!$AD$69="Menor"),CONCATENATE("R10C",'Mapa final'!$R$69),"")</f>
        <v/>
      </c>
      <c r="U15" s="53" t="str">
        <f>IF(AND('Mapa final'!$AB$70="Muy Alta",'Mapa final'!$AD$70="Menor"),CONCATENATE("R10C",'Mapa final'!$R$70),"")</f>
        <v/>
      </c>
      <c r="V15" s="57" t="str">
        <f>IF(AND('Mapa final'!$AB$65="Muy Alta",'Mapa final'!$AD$65="Moderado"),CONCATENATE("R10C",'Mapa final'!$R$65),"")</f>
        <v/>
      </c>
      <c r="W15" s="58" t="str">
        <f>IF(AND('Mapa final'!$AB$66="Muy Alta",'Mapa final'!$AD$66="Moderado"),CONCATENATE("R10C",'Mapa final'!$R$66),"")</f>
        <v/>
      </c>
      <c r="X15" s="58" t="str">
        <f>IF(AND('Mapa final'!$AB$67="Muy Alta",'Mapa final'!$AD$67="Moderado"),CONCATENATE("R10C",'Mapa final'!$R$67),"")</f>
        <v/>
      </c>
      <c r="Y15" s="58" t="str">
        <f>IF(AND('Mapa final'!$AB$68="Muy Alta",'Mapa final'!$AD$68="Moderado"),CONCATENATE("R10C",'Mapa final'!$R$68),"")</f>
        <v/>
      </c>
      <c r="Z15" s="58" t="str">
        <f>IF(AND('Mapa final'!$AB$69="Muy Alta",'Mapa final'!$AD$69="Moderado"),CONCATENATE("R10C",'Mapa final'!$R$69),"")</f>
        <v/>
      </c>
      <c r="AA15" s="59" t="str">
        <f>IF(AND('Mapa final'!$AB$70="Muy Alta",'Mapa final'!$AD$70="Moderado"),CONCATENATE("R10C",'Mapa final'!$R$70),"")</f>
        <v/>
      </c>
      <c r="AB15" s="51" t="str">
        <f>IF(AND('Mapa final'!$AB$65="Muy Alta",'Mapa final'!$AD$65="Mayor"),CONCATENATE("R10C",'Mapa final'!$R$65),"")</f>
        <v/>
      </c>
      <c r="AC15" s="52" t="str">
        <f>IF(AND('Mapa final'!$AB$66="Muy Alta",'Mapa final'!$AD$66="Mayor"),CONCATENATE("R10C",'Mapa final'!$R$66),"")</f>
        <v/>
      </c>
      <c r="AD15" s="52" t="str">
        <f>IF(AND('Mapa final'!$AB$67="Muy Alta",'Mapa final'!$AD$67="Mayor"),CONCATENATE("R10C",'Mapa final'!$R$67),"")</f>
        <v/>
      </c>
      <c r="AE15" s="52" t="str">
        <f>IF(AND('Mapa final'!$AB$68="Muy Alta",'Mapa final'!$AD$68="Mayor"),CONCATENATE("R10C",'Mapa final'!$R$68),"")</f>
        <v/>
      </c>
      <c r="AF15" s="52" t="str">
        <f>IF(AND('Mapa final'!$AB$69="Muy Alta",'Mapa final'!$AD$69="Mayor"),CONCATENATE("R10C",'Mapa final'!$R$69),"")</f>
        <v/>
      </c>
      <c r="AG15" s="53" t="str">
        <f>IF(AND('Mapa final'!$AB$70="Muy Alta",'Mapa final'!$AD$70="Mayor"),CONCATENATE("R10C",'Mapa final'!$R$70),"")</f>
        <v/>
      </c>
      <c r="AH15" s="60" t="str">
        <f>IF(AND('Mapa final'!$AB$65="Muy Alta",'Mapa final'!$AD$65="Catastrófico"),CONCATENATE("R10C",'Mapa final'!$R$65),"")</f>
        <v/>
      </c>
      <c r="AI15" s="61" t="str">
        <f>IF(AND('Mapa final'!$AB$66="Muy Alta",'Mapa final'!$AD$66="Catastrófico"),CONCATENATE("R10C",'Mapa final'!$R$66),"")</f>
        <v/>
      </c>
      <c r="AJ15" s="61" t="str">
        <f>IF(AND('Mapa final'!$AB$67="Muy Alta",'Mapa final'!$AD$67="Catastrófico"),CONCATENATE("R10C",'Mapa final'!$R$67),"")</f>
        <v/>
      </c>
      <c r="AK15" s="61" t="str">
        <f>IF(AND('Mapa final'!$AB$68="Muy Alta",'Mapa final'!$AD$68="Catastrófico"),CONCATENATE("R10C",'Mapa final'!$R$68),"")</f>
        <v/>
      </c>
      <c r="AL15" s="61" t="str">
        <f>IF(AND('Mapa final'!$AB$69="Muy Alta",'Mapa final'!$AD$69="Catastrófico"),CONCATENATE("R10C",'Mapa final'!$R$69),"")</f>
        <v/>
      </c>
      <c r="AM15" s="62" t="str">
        <f>IF(AND('Mapa final'!$AB$70="Muy Alta",'Mapa final'!$AD$70="Catastrófico"),CONCATENATE("R10C",'Mapa final'!$R$70),"")</f>
        <v/>
      </c>
      <c r="AN15" s="82"/>
      <c r="AO15" s="390"/>
      <c r="AP15" s="391"/>
      <c r="AQ15" s="391"/>
      <c r="AR15" s="391"/>
      <c r="AS15" s="391"/>
      <c r="AT15" s="39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282"/>
      <c r="C16" s="282"/>
      <c r="D16" s="283"/>
      <c r="E16" s="377" t="s">
        <v>107</v>
      </c>
      <c r="F16" s="378"/>
      <c r="G16" s="378"/>
      <c r="H16" s="378"/>
      <c r="I16" s="378"/>
      <c r="J16" s="63" t="str">
        <f>IF(AND('Mapa final'!$AB$11="Alta",'Mapa final'!$AD$11="Leve"),CONCATENATE("R1C",'Mapa final'!$R$11),"")</f>
        <v/>
      </c>
      <c r="K16" s="64" t="str">
        <f>IF(AND('Mapa final'!$AB$12="Alta",'Mapa final'!$AD$12="Leve"),CONCATENATE("R1C",'Mapa final'!$R$12),"")</f>
        <v/>
      </c>
      <c r="L16" s="64" t="str">
        <f>IF(AND('Mapa final'!$AB$13="Alta",'Mapa final'!$AD$13="Leve"),CONCATENATE("R1C",'Mapa final'!$R$13),"")</f>
        <v/>
      </c>
      <c r="M16" s="64" t="str">
        <f>IF(AND('Mapa final'!$AB$14="Alta",'Mapa final'!$AD$14="Leve"),CONCATENATE("R1C",'Mapa final'!$R$14),"")</f>
        <v/>
      </c>
      <c r="N16" s="64" t="str">
        <f>IF(AND('Mapa final'!$AB$15="Alta",'Mapa final'!$AD$15="Leve"),CONCATENATE("R1C",'Mapa final'!$R$15),"")</f>
        <v/>
      </c>
      <c r="O16" s="65" t="str">
        <f>IF(AND('Mapa final'!$AB$16="Alta",'Mapa final'!$AD$16="Leve"),CONCATENATE("R1C",'Mapa final'!$R$16),"")</f>
        <v/>
      </c>
      <c r="P16" s="63" t="str">
        <f>IF(AND('Mapa final'!$AB$11="Alta",'Mapa final'!$AD$11="Menor"),CONCATENATE("R1C",'Mapa final'!$R$11),"")</f>
        <v/>
      </c>
      <c r="Q16" s="64" t="str">
        <f>IF(AND('Mapa final'!$AB$12="Alta",'Mapa final'!$AD$12="Menor"),CONCATENATE("R1C",'Mapa final'!$R$12),"")</f>
        <v/>
      </c>
      <c r="R16" s="64" t="str">
        <f>IF(AND('Mapa final'!$AB$13="Alta",'Mapa final'!$AD$13="Menor"),CONCATENATE("R1C",'Mapa final'!$R$13),"")</f>
        <v/>
      </c>
      <c r="S16" s="64" t="str">
        <f>IF(AND('Mapa final'!$AB$14="Alta",'Mapa final'!$AD$14="Menor"),CONCATENATE("R1C",'Mapa final'!$R$14),"")</f>
        <v/>
      </c>
      <c r="T16" s="64" t="str">
        <f>IF(AND('Mapa final'!$AB$15="Alta",'Mapa final'!$AD$15="Menor"),CONCATENATE("R1C",'Mapa final'!$R$15),"")</f>
        <v/>
      </c>
      <c r="U16" s="65" t="str">
        <f>IF(AND('Mapa final'!$AB$16="Alta",'Mapa final'!$AD$16="Menor"),CONCATENATE("R1C",'Mapa final'!$R$16),"")</f>
        <v/>
      </c>
      <c r="V16" s="45" t="str">
        <f>IF(AND('Mapa final'!$AB$11="Alta",'Mapa final'!$AD$11="Moderado"),CONCATENATE("R1C",'Mapa final'!$R$11),"")</f>
        <v/>
      </c>
      <c r="W16" s="46" t="str">
        <f>IF(AND('Mapa final'!$AB$12="Alta",'Mapa final'!$AD$12="Moderado"),CONCATENATE("R1C",'Mapa final'!$R$12),"")</f>
        <v/>
      </c>
      <c r="X16" s="46" t="str">
        <f>IF(AND('Mapa final'!$AB$13="Alta",'Mapa final'!$AD$13="Moderado"),CONCATENATE("R1C",'Mapa final'!$R$13),"")</f>
        <v/>
      </c>
      <c r="Y16" s="46" t="str">
        <f>IF(AND('Mapa final'!$AB$14="Alta",'Mapa final'!$AD$14="Moderado"),CONCATENATE("R1C",'Mapa final'!$R$14),"")</f>
        <v/>
      </c>
      <c r="Z16" s="46" t="str">
        <f>IF(AND('Mapa final'!$AB$15="Alta",'Mapa final'!$AD$15="Moderado"),CONCATENATE("R1C",'Mapa final'!$R$15),"")</f>
        <v/>
      </c>
      <c r="AA16" s="47" t="str">
        <f>IF(AND('Mapa final'!$AB$16="Alta",'Mapa final'!$AD$16="Moderado"),CONCATENATE("R1C",'Mapa final'!$R$16),"")</f>
        <v/>
      </c>
      <c r="AB16" s="45" t="str">
        <f>IF(AND('Mapa final'!$AB$11="Alta",'Mapa final'!$AD$11="Mayor"),CONCATENATE("R1C",'Mapa final'!$R$11),"")</f>
        <v/>
      </c>
      <c r="AC16" s="46" t="str">
        <f>IF(AND('Mapa final'!$AB$12="Alta",'Mapa final'!$AD$12="Mayor"),CONCATENATE("R1C",'Mapa final'!$R$12),"")</f>
        <v/>
      </c>
      <c r="AD16" s="46" t="str">
        <f>IF(AND('Mapa final'!$AB$13="Alta",'Mapa final'!$AD$13="Mayor"),CONCATENATE("R1C",'Mapa final'!$R$13),"")</f>
        <v/>
      </c>
      <c r="AE16" s="46" t="str">
        <f>IF(AND('Mapa final'!$AB$14="Alta",'Mapa final'!$AD$14="Mayor"),CONCATENATE("R1C",'Mapa final'!$R$14),"")</f>
        <v/>
      </c>
      <c r="AF16" s="46" t="str">
        <f>IF(AND('Mapa final'!$AB$15="Alta",'Mapa final'!$AD$15="Mayor"),CONCATENATE("R1C",'Mapa final'!$R$15),"")</f>
        <v/>
      </c>
      <c r="AG16" s="47" t="str">
        <f>IF(AND('Mapa final'!$AB$16="Alta",'Mapa final'!$AD$16="Mayor"),CONCATENATE("R1C",'Mapa final'!$R$16),"")</f>
        <v/>
      </c>
      <c r="AH16" s="48" t="str">
        <f>IF(AND('Mapa final'!$AB$11="Alta",'Mapa final'!$AD$11="Catastrófico"),CONCATENATE("R1C",'Mapa final'!$R$11),"")</f>
        <v/>
      </c>
      <c r="AI16" s="49" t="str">
        <f>IF(AND('Mapa final'!$AB$12="Alta",'Mapa final'!$AD$12="Catastrófico"),CONCATENATE("R1C",'Mapa final'!$R$12),"")</f>
        <v/>
      </c>
      <c r="AJ16" s="49" t="str">
        <f>IF(AND('Mapa final'!$AB$13="Alta",'Mapa final'!$AD$13="Catastrófico"),CONCATENATE("R1C",'Mapa final'!$R$13),"")</f>
        <v/>
      </c>
      <c r="AK16" s="49" t="str">
        <f>IF(AND('Mapa final'!$AB$14="Alta",'Mapa final'!$AD$14="Catastrófico"),CONCATENATE("R1C",'Mapa final'!$R$14),"")</f>
        <v/>
      </c>
      <c r="AL16" s="49" t="str">
        <f>IF(AND('Mapa final'!$AB$15="Alta",'Mapa final'!$AD$15="Catastrófico"),CONCATENATE("R1C",'Mapa final'!$R$15),"")</f>
        <v/>
      </c>
      <c r="AM16" s="50" t="str">
        <f>IF(AND('Mapa final'!$AB$16="Alta",'Mapa final'!$AD$16="Catastrófico"),CONCATENATE("R1C",'Mapa final'!$R$16),"")</f>
        <v/>
      </c>
      <c r="AN16" s="82"/>
      <c r="AO16" s="368" t="s">
        <v>77</v>
      </c>
      <c r="AP16" s="369"/>
      <c r="AQ16" s="369"/>
      <c r="AR16" s="369"/>
      <c r="AS16" s="369"/>
      <c r="AT16" s="370"/>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282"/>
      <c r="C17" s="282"/>
      <c r="D17" s="283"/>
      <c r="E17" s="379"/>
      <c r="F17" s="380"/>
      <c r="G17" s="380"/>
      <c r="H17" s="380"/>
      <c r="I17" s="380"/>
      <c r="J17" s="66" t="str">
        <f>IF(AND('Mapa final'!$AB$17="Alta",'Mapa final'!$AD$17="Leve"),CONCATENATE("R2C",'Mapa final'!$R$17),"")</f>
        <v/>
      </c>
      <c r="K17" s="67" t="str">
        <f>IF(AND('Mapa final'!$AB$18="Alta",'Mapa final'!$AD$18="Leve"),CONCATENATE("R2C",'Mapa final'!$R$18),"")</f>
        <v/>
      </c>
      <c r="L17" s="67" t="str">
        <f>IF(AND('Mapa final'!$AB$19="Alta",'Mapa final'!$AD$19="Leve"),CONCATENATE("R2C",'Mapa final'!$R$19),"")</f>
        <v/>
      </c>
      <c r="M17" s="67" t="str">
        <f>IF(AND('Mapa final'!$AB$20="Alta",'Mapa final'!$AD$20="Leve"),CONCATENATE("R2C",'Mapa final'!$R$20),"")</f>
        <v/>
      </c>
      <c r="N17" s="67" t="str">
        <f>IF(AND('Mapa final'!$AB$21="Alta",'Mapa final'!$AD$21="Leve"),CONCATENATE("R2C",'Mapa final'!$R$21),"")</f>
        <v/>
      </c>
      <c r="O17" s="68" t="str">
        <f>IF(AND('Mapa final'!$AB$22="Alta",'Mapa final'!$AD$22="Leve"),CONCATENATE("R2C",'Mapa final'!$R$22),"")</f>
        <v/>
      </c>
      <c r="P17" s="66" t="str">
        <f>IF(AND('Mapa final'!$AB$17="Alta",'Mapa final'!$AD$17="Menor"),CONCATENATE("R2C",'Mapa final'!$R$17),"")</f>
        <v/>
      </c>
      <c r="Q17" s="67" t="str">
        <f>IF(AND('Mapa final'!$AB$18="Alta",'Mapa final'!$AD$18="Menor"),CONCATENATE("R2C",'Mapa final'!$R$18),"")</f>
        <v/>
      </c>
      <c r="R17" s="67" t="str">
        <f>IF(AND('Mapa final'!$AB$19="Alta",'Mapa final'!$AD$19="Menor"),CONCATENATE("R2C",'Mapa final'!$R$19),"")</f>
        <v/>
      </c>
      <c r="S17" s="67" t="str">
        <f>IF(AND('Mapa final'!$AB$20="Alta",'Mapa final'!$AD$20="Menor"),CONCATENATE("R2C",'Mapa final'!$R$20),"")</f>
        <v/>
      </c>
      <c r="T17" s="67" t="str">
        <f>IF(AND('Mapa final'!$AB$21="Alta",'Mapa final'!$AD$21="Menor"),CONCATENATE("R2C",'Mapa final'!$R$21),"")</f>
        <v/>
      </c>
      <c r="U17" s="68" t="str">
        <f>IF(AND('Mapa final'!$AB$22="Alta",'Mapa final'!$AD$22="Menor"),CONCATENATE("R2C",'Mapa final'!$R$22),"")</f>
        <v/>
      </c>
      <c r="V17" s="51" t="str">
        <f>IF(AND('Mapa final'!$AB$17="Alta",'Mapa final'!$AD$17="Moderado"),CONCATENATE("R2C",'Mapa final'!$R$17),"")</f>
        <v/>
      </c>
      <c r="W17" s="52" t="str">
        <f>IF(AND('Mapa final'!$AB$18="Alta",'Mapa final'!$AD$18="Moderado"),CONCATENATE("R2C",'Mapa final'!$R$18),"")</f>
        <v/>
      </c>
      <c r="X17" s="52" t="str">
        <f>IF(AND('Mapa final'!$AB$19="Alta",'Mapa final'!$AD$19="Moderado"),CONCATENATE("R2C",'Mapa final'!$R$19),"")</f>
        <v/>
      </c>
      <c r="Y17" s="52" t="str">
        <f>IF(AND('Mapa final'!$AB$20="Alta",'Mapa final'!$AD$20="Moderado"),CONCATENATE("R2C",'Mapa final'!$R$20),"")</f>
        <v/>
      </c>
      <c r="Z17" s="52" t="str">
        <f>IF(AND('Mapa final'!$AB$21="Alta",'Mapa final'!$AD$21="Moderado"),CONCATENATE("R2C",'Mapa final'!$R$21),"")</f>
        <v/>
      </c>
      <c r="AA17" s="53" t="str">
        <f>IF(AND('Mapa final'!$AB$22="Alta",'Mapa final'!$AD$22="Moderado"),CONCATENATE("R2C",'Mapa final'!$R$22),"")</f>
        <v/>
      </c>
      <c r="AB17" s="51" t="str">
        <f>IF(AND('Mapa final'!$AB$17="Alta",'Mapa final'!$AD$17="Mayor"),CONCATENATE("R2C",'Mapa final'!$R$17),"")</f>
        <v/>
      </c>
      <c r="AC17" s="52" t="str">
        <f>IF(AND('Mapa final'!$AB$18="Alta",'Mapa final'!$AD$18="Mayor"),CONCATENATE("R2C",'Mapa final'!$R$18),"")</f>
        <v/>
      </c>
      <c r="AD17" s="52" t="str">
        <f>IF(AND('Mapa final'!$AB$19="Alta",'Mapa final'!$AD$19="Mayor"),CONCATENATE("R2C",'Mapa final'!$R$19),"")</f>
        <v/>
      </c>
      <c r="AE17" s="52" t="str">
        <f>IF(AND('Mapa final'!$AB$20="Alta",'Mapa final'!$AD$20="Mayor"),CONCATENATE("R2C",'Mapa final'!$R$20),"")</f>
        <v/>
      </c>
      <c r="AF17" s="52" t="str">
        <f>IF(AND('Mapa final'!$AB$21="Alta",'Mapa final'!$AD$21="Mayor"),CONCATENATE("R2C",'Mapa final'!$R$21),"")</f>
        <v/>
      </c>
      <c r="AG17" s="53" t="str">
        <f>IF(AND('Mapa final'!$AB$22="Alta",'Mapa final'!$AD$22="Mayor"),CONCATENATE("R2C",'Mapa final'!$R$22),"")</f>
        <v/>
      </c>
      <c r="AH17" s="54" t="str">
        <f>IF(AND('Mapa final'!$AB$17="Alta",'Mapa final'!$AD$17="Catastrófico"),CONCATENATE("R2C",'Mapa final'!$R$17),"")</f>
        <v/>
      </c>
      <c r="AI17" s="55" t="str">
        <f>IF(AND('Mapa final'!$AB$18="Alta",'Mapa final'!$AD$18="Catastrófico"),CONCATENATE("R2C",'Mapa final'!$R$18),"")</f>
        <v/>
      </c>
      <c r="AJ17" s="55" t="str">
        <f>IF(AND('Mapa final'!$AB$19="Alta",'Mapa final'!$AD$19="Catastrófico"),CONCATENATE("R2C",'Mapa final'!$R$19),"")</f>
        <v/>
      </c>
      <c r="AK17" s="55" t="str">
        <f>IF(AND('Mapa final'!$AB$20="Alta",'Mapa final'!$AD$20="Catastrófico"),CONCATENATE("R2C",'Mapa final'!$R$20),"")</f>
        <v/>
      </c>
      <c r="AL17" s="55" t="str">
        <f>IF(AND('Mapa final'!$AB$21="Alta",'Mapa final'!$AD$21="Catastrófico"),CONCATENATE("R2C",'Mapa final'!$R$21),"")</f>
        <v/>
      </c>
      <c r="AM17" s="56" t="str">
        <f>IF(AND('Mapa final'!$AB$22="Alta",'Mapa final'!$AD$22="Catastrófico"),CONCATENATE("R2C",'Mapa final'!$R$22),"")</f>
        <v/>
      </c>
      <c r="AN17" s="82"/>
      <c r="AO17" s="371"/>
      <c r="AP17" s="372"/>
      <c r="AQ17" s="372"/>
      <c r="AR17" s="372"/>
      <c r="AS17" s="372"/>
      <c r="AT17" s="373"/>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282"/>
      <c r="C18" s="282"/>
      <c r="D18" s="283"/>
      <c r="E18" s="381"/>
      <c r="F18" s="380"/>
      <c r="G18" s="380"/>
      <c r="H18" s="380"/>
      <c r="I18" s="380"/>
      <c r="J18" s="66" t="str">
        <f>IF(AND('Mapa final'!$AB$23="Alta",'Mapa final'!$AD$23="Leve"),CONCATENATE("R3C",'Mapa final'!$R$23),"")</f>
        <v/>
      </c>
      <c r="K18" s="67" t="str">
        <f>IF(AND('Mapa final'!$AB$24="Alta",'Mapa final'!$AD$24="Leve"),CONCATENATE("R3C",'Mapa final'!$R$24),"")</f>
        <v/>
      </c>
      <c r="L18" s="67" t="str">
        <f>IF(AND('Mapa final'!$AB$25="Alta",'Mapa final'!$AD$25="Leve"),CONCATENATE("R3C",'Mapa final'!$R$25),"")</f>
        <v/>
      </c>
      <c r="M18" s="67" t="str">
        <f>IF(AND('Mapa final'!$AB$26="Alta",'Mapa final'!$AD$26="Leve"),CONCATENATE("R3C",'Mapa final'!$R$26),"")</f>
        <v/>
      </c>
      <c r="N18" s="67" t="str">
        <f>IF(AND('Mapa final'!$AB$27="Alta",'Mapa final'!$AD$27="Leve"),CONCATENATE("R3C",'Mapa final'!$R$27),"")</f>
        <v/>
      </c>
      <c r="O18" s="68" t="str">
        <f>IF(AND('Mapa final'!$AB$28="Alta",'Mapa final'!$AD$28="Leve"),CONCATENATE("R3C",'Mapa final'!$R$28),"")</f>
        <v/>
      </c>
      <c r="P18" s="66" t="str">
        <f>IF(AND('Mapa final'!$AB$23="Alta",'Mapa final'!$AD$23="Menor"),CONCATENATE("R3C",'Mapa final'!$R$23),"")</f>
        <v/>
      </c>
      <c r="Q18" s="67" t="str">
        <f>IF(AND('Mapa final'!$AB$24="Alta",'Mapa final'!$AD$24="Menor"),CONCATENATE("R3C",'Mapa final'!$R$24),"")</f>
        <v/>
      </c>
      <c r="R18" s="67" t="str">
        <f>IF(AND('Mapa final'!$AB$25="Alta",'Mapa final'!$AD$25="Menor"),CONCATENATE("R3C",'Mapa final'!$R$25),"")</f>
        <v/>
      </c>
      <c r="S18" s="67" t="str">
        <f>IF(AND('Mapa final'!$AB$26="Alta",'Mapa final'!$AD$26="Menor"),CONCATENATE("R3C",'Mapa final'!$R$26),"")</f>
        <v/>
      </c>
      <c r="T18" s="67" t="str">
        <f>IF(AND('Mapa final'!$AB$27="Alta",'Mapa final'!$AD$27="Menor"),CONCATENATE("R3C",'Mapa final'!$R$27),"")</f>
        <v/>
      </c>
      <c r="U18" s="68" t="str">
        <f>IF(AND('Mapa final'!$AB$28="Alta",'Mapa final'!$AD$28="Menor"),CONCATENATE("R3C",'Mapa final'!$R$28),"")</f>
        <v/>
      </c>
      <c r="V18" s="51" t="str">
        <f>IF(AND('Mapa final'!$AB$23="Alta",'Mapa final'!$AD$23="Moderado"),CONCATENATE("R3C",'Mapa final'!$R$23),"")</f>
        <v/>
      </c>
      <c r="W18" s="52" t="str">
        <f>IF(AND('Mapa final'!$AB$24="Alta",'Mapa final'!$AD$24="Moderado"),CONCATENATE("R3C",'Mapa final'!$R$24),"")</f>
        <v/>
      </c>
      <c r="X18" s="52" t="str">
        <f>IF(AND('Mapa final'!$AB$25="Alta",'Mapa final'!$AD$25="Moderado"),CONCATENATE("R3C",'Mapa final'!$R$25),"")</f>
        <v/>
      </c>
      <c r="Y18" s="52" t="str">
        <f>IF(AND('Mapa final'!$AB$26="Alta",'Mapa final'!$AD$26="Moderado"),CONCATENATE("R3C",'Mapa final'!$R$26),"")</f>
        <v/>
      </c>
      <c r="Z18" s="52" t="str">
        <f>IF(AND('Mapa final'!$AB$27="Alta",'Mapa final'!$AD$27="Moderado"),CONCATENATE("R3C",'Mapa final'!$R$27),"")</f>
        <v/>
      </c>
      <c r="AA18" s="53" t="str">
        <f>IF(AND('Mapa final'!$AB$28="Alta",'Mapa final'!$AD$28="Moderado"),CONCATENATE("R3C",'Mapa final'!$R$28),"")</f>
        <v/>
      </c>
      <c r="AB18" s="51" t="str">
        <f>IF(AND('Mapa final'!$AB$23="Alta",'Mapa final'!$AD$23="Mayor"),CONCATENATE("R3C",'Mapa final'!$R$23),"")</f>
        <v/>
      </c>
      <c r="AC18" s="52" t="str">
        <f>IF(AND('Mapa final'!$AB$24="Alta",'Mapa final'!$AD$24="Mayor"),CONCATENATE("R3C",'Mapa final'!$R$24),"")</f>
        <v/>
      </c>
      <c r="AD18" s="52" t="str">
        <f>IF(AND('Mapa final'!$AB$25="Alta",'Mapa final'!$AD$25="Mayor"),CONCATENATE("R3C",'Mapa final'!$R$25),"")</f>
        <v/>
      </c>
      <c r="AE18" s="52" t="str">
        <f>IF(AND('Mapa final'!$AB$26="Alta",'Mapa final'!$AD$26="Mayor"),CONCATENATE("R3C",'Mapa final'!$R$26),"")</f>
        <v/>
      </c>
      <c r="AF18" s="52" t="str">
        <f>IF(AND('Mapa final'!$AB$27="Alta",'Mapa final'!$AD$27="Mayor"),CONCATENATE("R3C",'Mapa final'!$R$27),"")</f>
        <v/>
      </c>
      <c r="AG18" s="53" t="str">
        <f>IF(AND('Mapa final'!$AB$28="Alta",'Mapa final'!$AD$28="Mayor"),CONCATENATE("R3C",'Mapa final'!$R$28),"")</f>
        <v/>
      </c>
      <c r="AH18" s="54" t="str">
        <f>IF(AND('Mapa final'!$AB$23="Alta",'Mapa final'!$AD$23="Catastrófico"),CONCATENATE("R3C",'Mapa final'!$R$23),"")</f>
        <v/>
      </c>
      <c r="AI18" s="55" t="str">
        <f>IF(AND('Mapa final'!$AB$24="Alta",'Mapa final'!$AD$24="Catastrófico"),CONCATENATE("R3C",'Mapa final'!$R$24),"")</f>
        <v/>
      </c>
      <c r="AJ18" s="55" t="str">
        <f>IF(AND('Mapa final'!$AB$25="Alta",'Mapa final'!$AD$25="Catastrófico"),CONCATENATE("R3C",'Mapa final'!$R$25),"")</f>
        <v/>
      </c>
      <c r="AK18" s="55" t="str">
        <f>IF(AND('Mapa final'!$AB$26="Alta",'Mapa final'!$AD$26="Catastrófico"),CONCATENATE("R3C",'Mapa final'!$R$26),"")</f>
        <v/>
      </c>
      <c r="AL18" s="55" t="str">
        <f>IF(AND('Mapa final'!$AB$27="Alta",'Mapa final'!$AD$27="Catastrófico"),CONCATENATE("R3C",'Mapa final'!$R$27),"")</f>
        <v/>
      </c>
      <c r="AM18" s="56" t="str">
        <f>IF(AND('Mapa final'!$AB$28="Alta",'Mapa final'!$AD$28="Catastrófico"),CONCATENATE("R3C",'Mapa final'!$R$28),"")</f>
        <v/>
      </c>
      <c r="AN18" s="82"/>
      <c r="AO18" s="371"/>
      <c r="AP18" s="372"/>
      <c r="AQ18" s="372"/>
      <c r="AR18" s="372"/>
      <c r="AS18" s="372"/>
      <c r="AT18" s="373"/>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282"/>
      <c r="C19" s="282"/>
      <c r="D19" s="283"/>
      <c r="E19" s="381"/>
      <c r="F19" s="380"/>
      <c r="G19" s="380"/>
      <c r="H19" s="380"/>
      <c r="I19" s="380"/>
      <c r="J19" s="66" t="str">
        <f>IF(AND('Mapa final'!$AB$29="Alta",'Mapa final'!$AD$29="Leve"),CONCATENATE("R4C",'Mapa final'!$R$29),"")</f>
        <v/>
      </c>
      <c r="K19" s="67" t="str">
        <f>IF(AND('Mapa final'!$AB$30="Alta",'Mapa final'!$AD$30="Leve"),CONCATENATE("R4C",'Mapa final'!$R$30),"")</f>
        <v/>
      </c>
      <c r="L19" s="67" t="str">
        <f>IF(AND('Mapa final'!$AB$31="Alta",'Mapa final'!$AD$31="Leve"),CONCATENATE("R4C",'Mapa final'!$R$31),"")</f>
        <v/>
      </c>
      <c r="M19" s="67" t="str">
        <f>IF(AND('Mapa final'!$AB$32="Alta",'Mapa final'!$AD$32="Leve"),CONCATENATE("R4C",'Mapa final'!$R$32),"")</f>
        <v/>
      </c>
      <c r="N19" s="67" t="str">
        <f>IF(AND('Mapa final'!$AB$33="Alta",'Mapa final'!$AD$33="Leve"),CONCATENATE("R4C",'Mapa final'!$R$33),"")</f>
        <v/>
      </c>
      <c r="O19" s="68" t="str">
        <f>IF(AND('Mapa final'!$AB$34="Alta",'Mapa final'!$AD$34="Leve"),CONCATENATE("R4C",'Mapa final'!$R$34),"")</f>
        <v/>
      </c>
      <c r="P19" s="66" t="str">
        <f>IF(AND('Mapa final'!$AB$29="Alta",'Mapa final'!$AD$29="Menor"),CONCATENATE("R4C",'Mapa final'!$R$29),"")</f>
        <v/>
      </c>
      <c r="Q19" s="67" t="str">
        <f>IF(AND('Mapa final'!$AB$30="Alta",'Mapa final'!$AD$30="Menor"),CONCATENATE("R4C",'Mapa final'!$R$30),"")</f>
        <v/>
      </c>
      <c r="R19" s="67" t="str">
        <f>IF(AND('Mapa final'!$AB$31="Alta",'Mapa final'!$AD$31="Menor"),CONCATENATE("R4C",'Mapa final'!$R$31),"")</f>
        <v/>
      </c>
      <c r="S19" s="67" t="str">
        <f>IF(AND('Mapa final'!$AB$32="Alta",'Mapa final'!$AD$32="Menor"),CONCATENATE("R4C",'Mapa final'!$R$32),"")</f>
        <v/>
      </c>
      <c r="T19" s="67" t="str">
        <f>IF(AND('Mapa final'!$AB$33="Alta",'Mapa final'!$AD$33="Menor"),CONCATENATE("R4C",'Mapa final'!$R$33),"")</f>
        <v/>
      </c>
      <c r="U19" s="68" t="str">
        <f>IF(AND('Mapa final'!$AB$34="Alta",'Mapa final'!$AD$34="Menor"),CONCATENATE("R4C",'Mapa final'!$R$34),"")</f>
        <v/>
      </c>
      <c r="V19" s="51" t="str">
        <f>IF(AND('Mapa final'!$AB$29="Alta",'Mapa final'!$AD$29="Moderado"),CONCATENATE("R4C",'Mapa final'!$R$29),"")</f>
        <v/>
      </c>
      <c r="W19" s="52" t="str">
        <f>IF(AND('Mapa final'!$AB$30="Alta",'Mapa final'!$AD$30="Moderado"),CONCATENATE("R4C",'Mapa final'!$R$30),"")</f>
        <v/>
      </c>
      <c r="X19" s="52" t="str">
        <f>IF(AND('Mapa final'!$AB$31="Alta",'Mapa final'!$AD$31="Moderado"),CONCATENATE("R4C",'Mapa final'!$R$31),"")</f>
        <v/>
      </c>
      <c r="Y19" s="52" t="str">
        <f>IF(AND('Mapa final'!$AB$32="Alta",'Mapa final'!$AD$32="Moderado"),CONCATENATE("R4C",'Mapa final'!$R$32),"")</f>
        <v/>
      </c>
      <c r="Z19" s="52" t="str">
        <f>IF(AND('Mapa final'!$AB$33="Alta",'Mapa final'!$AD$33="Moderado"),CONCATENATE("R4C",'Mapa final'!$R$33),"")</f>
        <v/>
      </c>
      <c r="AA19" s="53" t="str">
        <f>IF(AND('Mapa final'!$AB$34="Alta",'Mapa final'!$AD$34="Moderado"),CONCATENATE("R4C",'Mapa final'!$R$34),"")</f>
        <v/>
      </c>
      <c r="AB19" s="51" t="str">
        <f>IF(AND('Mapa final'!$AB$29="Alta",'Mapa final'!$AD$29="Mayor"),CONCATENATE("R4C",'Mapa final'!$R$29),"")</f>
        <v/>
      </c>
      <c r="AC19" s="52" t="str">
        <f>IF(AND('Mapa final'!$AB$30="Alta",'Mapa final'!$AD$30="Mayor"),CONCATENATE("R4C",'Mapa final'!$R$30),"")</f>
        <v/>
      </c>
      <c r="AD19" s="52" t="str">
        <f>IF(AND('Mapa final'!$AB$31="Alta",'Mapa final'!$AD$31="Mayor"),CONCATENATE("R4C",'Mapa final'!$R$31),"")</f>
        <v/>
      </c>
      <c r="AE19" s="52" t="str">
        <f>IF(AND('Mapa final'!$AB$32="Alta",'Mapa final'!$AD$32="Mayor"),CONCATENATE("R4C",'Mapa final'!$R$32),"")</f>
        <v/>
      </c>
      <c r="AF19" s="52" t="str">
        <f>IF(AND('Mapa final'!$AB$33="Alta",'Mapa final'!$AD$33="Mayor"),CONCATENATE("R4C",'Mapa final'!$R$33),"")</f>
        <v/>
      </c>
      <c r="AG19" s="53" t="str">
        <f>IF(AND('Mapa final'!$AB$34="Alta",'Mapa final'!$AD$34="Mayor"),CONCATENATE("R4C",'Mapa final'!$R$34),"")</f>
        <v/>
      </c>
      <c r="AH19" s="54" t="str">
        <f>IF(AND('Mapa final'!$AB$29="Alta",'Mapa final'!$AD$29="Catastrófico"),CONCATENATE("R4C",'Mapa final'!$R$29),"")</f>
        <v/>
      </c>
      <c r="AI19" s="55" t="str">
        <f>IF(AND('Mapa final'!$AB$30="Alta",'Mapa final'!$AD$30="Catastrófico"),CONCATENATE("R4C",'Mapa final'!$R$30),"")</f>
        <v/>
      </c>
      <c r="AJ19" s="55" t="str">
        <f>IF(AND('Mapa final'!$AB$31="Alta",'Mapa final'!$AD$31="Catastrófico"),CONCATENATE("R4C",'Mapa final'!$R$31),"")</f>
        <v/>
      </c>
      <c r="AK19" s="55" t="str">
        <f>IF(AND('Mapa final'!$AB$32="Alta",'Mapa final'!$AD$32="Catastrófico"),CONCATENATE("R4C",'Mapa final'!$R$32),"")</f>
        <v/>
      </c>
      <c r="AL19" s="55" t="str">
        <f>IF(AND('Mapa final'!$AB$33="Alta",'Mapa final'!$AD$33="Catastrófico"),CONCATENATE("R4C",'Mapa final'!$R$33),"")</f>
        <v/>
      </c>
      <c r="AM19" s="56" t="str">
        <f>IF(AND('Mapa final'!$AB$34="Alta",'Mapa final'!$AD$34="Catastrófico"),CONCATENATE("R4C",'Mapa final'!$R$34),"")</f>
        <v/>
      </c>
      <c r="AN19" s="82"/>
      <c r="AO19" s="371"/>
      <c r="AP19" s="372"/>
      <c r="AQ19" s="372"/>
      <c r="AR19" s="372"/>
      <c r="AS19" s="372"/>
      <c r="AT19" s="373"/>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282"/>
      <c r="C20" s="282"/>
      <c r="D20" s="283"/>
      <c r="E20" s="381"/>
      <c r="F20" s="380"/>
      <c r="G20" s="380"/>
      <c r="H20" s="380"/>
      <c r="I20" s="380"/>
      <c r="J20" s="66" t="str">
        <f>IF(AND('Mapa final'!$AB$35="Alta",'Mapa final'!$AD$35="Leve"),CONCATENATE("R5C",'Mapa final'!$R$35),"")</f>
        <v/>
      </c>
      <c r="K20" s="67" t="str">
        <f>IF(AND('Mapa final'!$AB$36="Alta",'Mapa final'!$AD$36="Leve"),CONCATENATE("R5C",'Mapa final'!$R$36),"")</f>
        <v/>
      </c>
      <c r="L20" s="67" t="str">
        <f>IF(AND('Mapa final'!$AB$37="Alta",'Mapa final'!$AD$37="Leve"),CONCATENATE("R5C",'Mapa final'!$R$37),"")</f>
        <v/>
      </c>
      <c r="M20" s="67" t="str">
        <f>IF(AND('Mapa final'!$AB$38="Alta",'Mapa final'!$AD$38="Leve"),CONCATENATE("R5C",'Mapa final'!$R$38),"")</f>
        <v/>
      </c>
      <c r="N20" s="67" t="str">
        <f>IF(AND('Mapa final'!$AB$39="Alta",'Mapa final'!$AD$39="Leve"),CONCATENATE("R5C",'Mapa final'!$R$39),"")</f>
        <v/>
      </c>
      <c r="O20" s="68" t="str">
        <f>IF(AND('Mapa final'!$AB$40="Alta",'Mapa final'!$AD$40="Leve"),CONCATENATE("R5C",'Mapa final'!$R$40),"")</f>
        <v/>
      </c>
      <c r="P20" s="66" t="str">
        <f>IF(AND('Mapa final'!$AB$35="Alta",'Mapa final'!$AD$35="Menor"),CONCATENATE("R5C",'Mapa final'!$R$35),"")</f>
        <v/>
      </c>
      <c r="Q20" s="67" t="str">
        <f>IF(AND('Mapa final'!$AB$36="Alta",'Mapa final'!$AD$36="Menor"),CONCATENATE("R5C",'Mapa final'!$R$36),"")</f>
        <v/>
      </c>
      <c r="R20" s="67" t="str">
        <f>IF(AND('Mapa final'!$AB$37="Alta",'Mapa final'!$AD$37="Menor"),CONCATENATE("R5C",'Mapa final'!$R$37),"")</f>
        <v/>
      </c>
      <c r="S20" s="67" t="str">
        <f>IF(AND('Mapa final'!$AB$38="Alta",'Mapa final'!$AD$38="Menor"),CONCATENATE("R5C",'Mapa final'!$R$38),"")</f>
        <v/>
      </c>
      <c r="T20" s="67" t="str">
        <f>IF(AND('Mapa final'!$AB$39="Alta",'Mapa final'!$AD$39="Menor"),CONCATENATE("R5C",'Mapa final'!$R$39),"")</f>
        <v/>
      </c>
      <c r="U20" s="68" t="str">
        <f>IF(AND('Mapa final'!$AB$40="Alta",'Mapa final'!$AD$40="Menor"),CONCATENATE("R5C",'Mapa final'!$R$40),"")</f>
        <v/>
      </c>
      <c r="V20" s="51" t="str">
        <f>IF(AND('Mapa final'!$AB$35="Alta",'Mapa final'!$AD$35="Moderado"),CONCATENATE("R5C",'Mapa final'!$R$35),"")</f>
        <v/>
      </c>
      <c r="W20" s="52" t="str">
        <f>IF(AND('Mapa final'!$AB$36="Alta",'Mapa final'!$AD$36="Moderado"),CONCATENATE("R5C",'Mapa final'!$R$36),"")</f>
        <v/>
      </c>
      <c r="X20" s="52" t="str">
        <f>IF(AND('Mapa final'!$AB$37="Alta",'Mapa final'!$AD$37="Moderado"),CONCATENATE("R5C",'Mapa final'!$R$37),"")</f>
        <v/>
      </c>
      <c r="Y20" s="52" t="str">
        <f>IF(AND('Mapa final'!$AB$38="Alta",'Mapa final'!$AD$38="Moderado"),CONCATENATE("R5C",'Mapa final'!$R$38),"")</f>
        <v/>
      </c>
      <c r="Z20" s="52" t="str">
        <f>IF(AND('Mapa final'!$AB$39="Alta",'Mapa final'!$AD$39="Moderado"),CONCATENATE("R5C",'Mapa final'!$R$39),"")</f>
        <v/>
      </c>
      <c r="AA20" s="53" t="str">
        <f>IF(AND('Mapa final'!$AB$40="Alta",'Mapa final'!$AD$40="Moderado"),CONCATENATE("R5C",'Mapa final'!$R$40),"")</f>
        <v/>
      </c>
      <c r="AB20" s="51" t="str">
        <f>IF(AND('Mapa final'!$AB$35="Alta",'Mapa final'!$AD$35="Mayor"),CONCATENATE("R5C",'Mapa final'!$R$35),"")</f>
        <v/>
      </c>
      <c r="AC20" s="52" t="str">
        <f>IF(AND('Mapa final'!$AB$36="Alta",'Mapa final'!$AD$36="Mayor"),CONCATENATE("R5C",'Mapa final'!$R$36),"")</f>
        <v/>
      </c>
      <c r="AD20" s="52" t="str">
        <f>IF(AND('Mapa final'!$AB$37="Alta",'Mapa final'!$AD$37="Mayor"),CONCATENATE("R5C",'Mapa final'!$R$37),"")</f>
        <v/>
      </c>
      <c r="AE20" s="52" t="str">
        <f>IF(AND('Mapa final'!$AB$38="Alta",'Mapa final'!$AD$38="Mayor"),CONCATENATE("R5C",'Mapa final'!$R$38),"")</f>
        <v/>
      </c>
      <c r="AF20" s="52" t="str">
        <f>IF(AND('Mapa final'!$AB$39="Alta",'Mapa final'!$AD$39="Mayor"),CONCATENATE("R5C",'Mapa final'!$R$39),"")</f>
        <v/>
      </c>
      <c r="AG20" s="53" t="str">
        <f>IF(AND('Mapa final'!$AB$40="Alta",'Mapa final'!$AD$40="Mayor"),CONCATENATE("R5C",'Mapa final'!$R$40),"")</f>
        <v/>
      </c>
      <c r="AH20" s="54" t="str">
        <f>IF(AND('Mapa final'!$AB$35="Alta",'Mapa final'!$AD$35="Catastrófico"),CONCATENATE("R5C",'Mapa final'!$R$35),"")</f>
        <v/>
      </c>
      <c r="AI20" s="55" t="str">
        <f>IF(AND('Mapa final'!$AB$36="Alta",'Mapa final'!$AD$36="Catastrófico"),CONCATENATE("R5C",'Mapa final'!$R$36),"")</f>
        <v/>
      </c>
      <c r="AJ20" s="55" t="str">
        <f>IF(AND('Mapa final'!$AB$37="Alta",'Mapa final'!$AD$37="Catastrófico"),CONCATENATE("R5C",'Mapa final'!$R$37),"")</f>
        <v/>
      </c>
      <c r="AK20" s="55" t="str">
        <f>IF(AND('Mapa final'!$AB$38="Alta",'Mapa final'!$AD$38="Catastrófico"),CONCATENATE("R5C",'Mapa final'!$R$38),"")</f>
        <v/>
      </c>
      <c r="AL20" s="55" t="str">
        <f>IF(AND('Mapa final'!$AB$39="Alta",'Mapa final'!$AD$39="Catastrófico"),CONCATENATE("R5C",'Mapa final'!$R$39),"")</f>
        <v/>
      </c>
      <c r="AM20" s="56" t="str">
        <f>IF(AND('Mapa final'!$AB$40="Alta",'Mapa final'!$AD$40="Catastrófico"),CONCATENATE("R5C",'Mapa final'!$R$40),"")</f>
        <v/>
      </c>
      <c r="AN20" s="82"/>
      <c r="AO20" s="371"/>
      <c r="AP20" s="372"/>
      <c r="AQ20" s="372"/>
      <c r="AR20" s="372"/>
      <c r="AS20" s="372"/>
      <c r="AT20" s="373"/>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282"/>
      <c r="C21" s="282"/>
      <c r="D21" s="283"/>
      <c r="E21" s="381"/>
      <c r="F21" s="380"/>
      <c r="G21" s="380"/>
      <c r="H21" s="380"/>
      <c r="I21" s="380"/>
      <c r="J21" s="66" t="str">
        <f>IF(AND('Mapa final'!$AB$41="Alta",'Mapa final'!$AD$41="Leve"),CONCATENATE("R6C",'Mapa final'!$R$41),"")</f>
        <v/>
      </c>
      <c r="K21" s="67" t="str">
        <f>IF(AND('Mapa final'!$AB$42="Alta",'Mapa final'!$AD$42="Leve"),CONCATENATE("R6C",'Mapa final'!$R$42),"")</f>
        <v/>
      </c>
      <c r="L21" s="67" t="str">
        <f>IF(AND('Mapa final'!$AB$43="Alta",'Mapa final'!$AD$43="Leve"),CONCATENATE("R6C",'Mapa final'!$R$43),"")</f>
        <v/>
      </c>
      <c r="M21" s="67" t="str">
        <f>IF(AND('Mapa final'!$AB$44="Alta",'Mapa final'!$AD$44="Leve"),CONCATENATE("R6C",'Mapa final'!$R$44),"")</f>
        <v/>
      </c>
      <c r="N21" s="67" t="str">
        <f>IF(AND('Mapa final'!$AB$45="Alta",'Mapa final'!$AD$45="Leve"),CONCATENATE("R6C",'Mapa final'!$R$45),"")</f>
        <v/>
      </c>
      <c r="O21" s="68" t="str">
        <f>IF(AND('Mapa final'!$AB$46="Alta",'Mapa final'!$AD$46="Leve"),CONCATENATE("R6C",'Mapa final'!$R$46),"")</f>
        <v/>
      </c>
      <c r="P21" s="66" t="str">
        <f>IF(AND('Mapa final'!$AB$41="Alta",'Mapa final'!$AD$41="Menor"),CONCATENATE("R6C",'Mapa final'!$R$41),"")</f>
        <v/>
      </c>
      <c r="Q21" s="67" t="str">
        <f>IF(AND('Mapa final'!$AB$42="Alta",'Mapa final'!$AD$42="Menor"),CONCATENATE("R6C",'Mapa final'!$R$42),"")</f>
        <v/>
      </c>
      <c r="R21" s="67" t="str">
        <f>IF(AND('Mapa final'!$AB$43="Alta",'Mapa final'!$AD$43="Menor"),CONCATENATE("R6C",'Mapa final'!$R$43),"")</f>
        <v/>
      </c>
      <c r="S21" s="67" t="str">
        <f>IF(AND('Mapa final'!$AB$44="Alta",'Mapa final'!$AD$44="Menor"),CONCATENATE("R6C",'Mapa final'!$R$44),"")</f>
        <v/>
      </c>
      <c r="T21" s="67" t="str">
        <f>IF(AND('Mapa final'!$AB$45="Alta",'Mapa final'!$AD$45="Menor"),CONCATENATE("R6C",'Mapa final'!$R$45),"")</f>
        <v/>
      </c>
      <c r="U21" s="68" t="str">
        <f>IF(AND('Mapa final'!$AB$46="Alta",'Mapa final'!$AD$46="Menor"),CONCATENATE("R6C",'Mapa final'!$R$46),"")</f>
        <v/>
      </c>
      <c r="V21" s="51" t="str">
        <f>IF(AND('Mapa final'!$AB$41="Alta",'Mapa final'!$AD$41="Moderado"),CONCATENATE("R6C",'Mapa final'!$R$41),"")</f>
        <v/>
      </c>
      <c r="W21" s="52" t="str">
        <f>IF(AND('Mapa final'!$AB$42="Alta",'Mapa final'!$AD$42="Moderado"),CONCATENATE("R6C",'Mapa final'!$R$42),"")</f>
        <v/>
      </c>
      <c r="X21" s="52" t="str">
        <f>IF(AND('Mapa final'!$AB$43="Alta",'Mapa final'!$AD$43="Moderado"),CONCATENATE("R6C",'Mapa final'!$R$43),"")</f>
        <v/>
      </c>
      <c r="Y21" s="52" t="str">
        <f>IF(AND('Mapa final'!$AB$44="Alta",'Mapa final'!$AD$44="Moderado"),CONCATENATE("R6C",'Mapa final'!$R$44),"")</f>
        <v/>
      </c>
      <c r="Z21" s="52" t="str">
        <f>IF(AND('Mapa final'!$AB$45="Alta",'Mapa final'!$AD$45="Moderado"),CONCATENATE("R6C",'Mapa final'!$R$45),"")</f>
        <v/>
      </c>
      <c r="AA21" s="53" t="str">
        <f>IF(AND('Mapa final'!$AB$46="Alta",'Mapa final'!$AD$46="Moderado"),CONCATENATE("R6C",'Mapa final'!$R$46),"")</f>
        <v/>
      </c>
      <c r="AB21" s="51" t="str">
        <f>IF(AND('Mapa final'!$AB$41="Alta",'Mapa final'!$AD$41="Mayor"),CONCATENATE("R6C",'Mapa final'!$R$41),"")</f>
        <v/>
      </c>
      <c r="AC21" s="52" t="str">
        <f>IF(AND('Mapa final'!$AB$42="Alta",'Mapa final'!$AD$42="Mayor"),CONCATENATE("R6C",'Mapa final'!$R$42),"")</f>
        <v/>
      </c>
      <c r="AD21" s="52" t="str">
        <f>IF(AND('Mapa final'!$AB$43="Alta",'Mapa final'!$AD$43="Mayor"),CONCATENATE("R6C",'Mapa final'!$R$43),"")</f>
        <v/>
      </c>
      <c r="AE21" s="52" t="str">
        <f>IF(AND('Mapa final'!$AB$44="Alta",'Mapa final'!$AD$44="Mayor"),CONCATENATE("R6C",'Mapa final'!$R$44),"")</f>
        <v/>
      </c>
      <c r="AF21" s="52" t="str">
        <f>IF(AND('Mapa final'!$AB$45="Alta",'Mapa final'!$AD$45="Mayor"),CONCATENATE("R6C",'Mapa final'!$R$45),"")</f>
        <v/>
      </c>
      <c r="AG21" s="53" t="str">
        <f>IF(AND('Mapa final'!$AB$46="Alta",'Mapa final'!$AD$46="Mayor"),CONCATENATE("R6C",'Mapa final'!$R$46),"")</f>
        <v/>
      </c>
      <c r="AH21" s="54" t="str">
        <f>IF(AND('Mapa final'!$AB$41="Alta",'Mapa final'!$AD$41="Catastrófico"),CONCATENATE("R6C",'Mapa final'!$R$41),"")</f>
        <v/>
      </c>
      <c r="AI21" s="55" t="str">
        <f>IF(AND('Mapa final'!$AB$42="Alta",'Mapa final'!$AD$42="Catastrófico"),CONCATENATE("R6C",'Mapa final'!$R$42),"")</f>
        <v/>
      </c>
      <c r="AJ21" s="55" t="str">
        <f>IF(AND('Mapa final'!$AB$43="Alta",'Mapa final'!$AD$43="Catastrófico"),CONCATENATE("R6C",'Mapa final'!$R$43),"")</f>
        <v/>
      </c>
      <c r="AK21" s="55" t="str">
        <f>IF(AND('Mapa final'!$AB$44="Alta",'Mapa final'!$AD$44="Catastrófico"),CONCATENATE("R6C",'Mapa final'!$R$44),"")</f>
        <v/>
      </c>
      <c r="AL21" s="55" t="str">
        <f>IF(AND('Mapa final'!$AB$45="Alta",'Mapa final'!$AD$45="Catastrófico"),CONCATENATE("R6C",'Mapa final'!$R$45),"")</f>
        <v/>
      </c>
      <c r="AM21" s="56" t="str">
        <f>IF(AND('Mapa final'!$AB$46="Alta",'Mapa final'!$AD$46="Catastrófico"),CONCATENATE("R6C",'Mapa final'!$R$46),"")</f>
        <v/>
      </c>
      <c r="AN21" s="82"/>
      <c r="AO21" s="371"/>
      <c r="AP21" s="372"/>
      <c r="AQ21" s="372"/>
      <c r="AR21" s="372"/>
      <c r="AS21" s="372"/>
      <c r="AT21" s="373"/>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282"/>
      <c r="C22" s="282"/>
      <c r="D22" s="283"/>
      <c r="E22" s="381"/>
      <c r="F22" s="380"/>
      <c r="G22" s="380"/>
      <c r="H22" s="380"/>
      <c r="I22" s="380"/>
      <c r="J22" s="66" t="str">
        <f>IF(AND('Mapa final'!$AB$47="Alta",'Mapa final'!$AD$47="Leve"),CONCATENATE("R7C",'Mapa final'!$R$47),"")</f>
        <v/>
      </c>
      <c r="K22" s="67" t="str">
        <f>IF(AND('Mapa final'!$AB$48="Alta",'Mapa final'!$AD$48="Leve"),CONCATENATE("R7C",'Mapa final'!$R$48),"")</f>
        <v/>
      </c>
      <c r="L22" s="67" t="str">
        <f>IF(AND('Mapa final'!$AB$49="Alta",'Mapa final'!$AD$49="Leve"),CONCATENATE("R7C",'Mapa final'!$R$49),"")</f>
        <v/>
      </c>
      <c r="M22" s="67" t="str">
        <f>IF(AND('Mapa final'!$AB$50="Alta",'Mapa final'!$AD$50="Leve"),CONCATENATE("R7C",'Mapa final'!$R$50),"")</f>
        <v/>
      </c>
      <c r="N22" s="67" t="str">
        <f>IF(AND('Mapa final'!$AB$51="Alta",'Mapa final'!$AD$51="Leve"),CONCATENATE("R7C",'Mapa final'!$R$51),"")</f>
        <v/>
      </c>
      <c r="O22" s="68" t="str">
        <f>IF(AND('Mapa final'!$AB$52="Alta",'Mapa final'!$AD$52="Leve"),CONCATENATE("R7C",'Mapa final'!$R$52),"")</f>
        <v/>
      </c>
      <c r="P22" s="66" t="str">
        <f>IF(AND('Mapa final'!$AB$47="Alta",'Mapa final'!$AD$47="Menor"),CONCATENATE("R7C",'Mapa final'!$R$47),"")</f>
        <v/>
      </c>
      <c r="Q22" s="67" t="str">
        <f>IF(AND('Mapa final'!$AB$48="Alta",'Mapa final'!$AD$48="Menor"),CONCATENATE("R7C",'Mapa final'!$R$48),"")</f>
        <v/>
      </c>
      <c r="R22" s="67" t="str">
        <f>IF(AND('Mapa final'!$AB$49="Alta",'Mapa final'!$AD$49="Menor"),CONCATENATE("R7C",'Mapa final'!$R$49),"")</f>
        <v/>
      </c>
      <c r="S22" s="67" t="str">
        <f>IF(AND('Mapa final'!$AB$50="Alta",'Mapa final'!$AD$50="Menor"),CONCATENATE("R7C",'Mapa final'!$R$50),"")</f>
        <v/>
      </c>
      <c r="T22" s="67" t="str">
        <f>IF(AND('Mapa final'!$AB$51="Alta",'Mapa final'!$AD$51="Menor"),CONCATENATE("R7C",'Mapa final'!$R$51),"")</f>
        <v/>
      </c>
      <c r="U22" s="68" t="str">
        <f>IF(AND('Mapa final'!$AB$52="Alta",'Mapa final'!$AD$52="Menor"),CONCATENATE("R7C",'Mapa final'!$R$52),"")</f>
        <v/>
      </c>
      <c r="V22" s="51" t="str">
        <f>IF(AND('Mapa final'!$AB$47="Alta",'Mapa final'!$AD$47="Moderado"),CONCATENATE("R7C",'Mapa final'!$R$47),"")</f>
        <v/>
      </c>
      <c r="W22" s="52" t="str">
        <f>IF(AND('Mapa final'!$AB$48="Alta",'Mapa final'!$AD$48="Moderado"),CONCATENATE("R7C",'Mapa final'!$R$48),"")</f>
        <v/>
      </c>
      <c r="X22" s="52" t="str">
        <f>IF(AND('Mapa final'!$AB$49="Alta",'Mapa final'!$AD$49="Moderado"),CONCATENATE("R7C",'Mapa final'!$R$49),"")</f>
        <v/>
      </c>
      <c r="Y22" s="52" t="str">
        <f>IF(AND('Mapa final'!$AB$50="Alta",'Mapa final'!$AD$50="Moderado"),CONCATENATE("R7C",'Mapa final'!$R$50),"")</f>
        <v/>
      </c>
      <c r="Z22" s="52" t="str">
        <f>IF(AND('Mapa final'!$AB$51="Alta",'Mapa final'!$AD$51="Moderado"),CONCATENATE("R7C",'Mapa final'!$R$51),"")</f>
        <v/>
      </c>
      <c r="AA22" s="53" t="str">
        <f>IF(AND('Mapa final'!$AB$52="Alta",'Mapa final'!$AD$52="Moderado"),CONCATENATE("R7C",'Mapa final'!$R$52),"")</f>
        <v/>
      </c>
      <c r="AB22" s="51" t="str">
        <f>IF(AND('Mapa final'!$AB$47="Alta",'Mapa final'!$AD$47="Mayor"),CONCATENATE("R7C",'Mapa final'!$R$47),"")</f>
        <v/>
      </c>
      <c r="AC22" s="52" t="str">
        <f>IF(AND('Mapa final'!$AB$48="Alta",'Mapa final'!$AD$48="Mayor"),CONCATENATE("R7C",'Mapa final'!$R$48),"")</f>
        <v/>
      </c>
      <c r="AD22" s="52" t="str">
        <f>IF(AND('Mapa final'!$AB$49="Alta",'Mapa final'!$AD$49="Mayor"),CONCATENATE("R7C",'Mapa final'!$R$49),"")</f>
        <v/>
      </c>
      <c r="AE22" s="52" t="str">
        <f>IF(AND('Mapa final'!$AB$50="Alta",'Mapa final'!$AD$50="Mayor"),CONCATENATE("R7C",'Mapa final'!$R$50),"")</f>
        <v/>
      </c>
      <c r="AF22" s="52" t="str">
        <f>IF(AND('Mapa final'!$AB$51="Alta",'Mapa final'!$AD$51="Mayor"),CONCATENATE("R7C",'Mapa final'!$R$51),"")</f>
        <v/>
      </c>
      <c r="AG22" s="53" t="str">
        <f>IF(AND('Mapa final'!$AB$52="Alta",'Mapa final'!$AD$52="Mayor"),CONCATENATE("R7C",'Mapa final'!$R$52),"")</f>
        <v/>
      </c>
      <c r="AH22" s="54" t="str">
        <f>IF(AND('Mapa final'!$AB$47="Alta",'Mapa final'!$AD$47="Catastrófico"),CONCATENATE("R7C",'Mapa final'!$R$47),"")</f>
        <v/>
      </c>
      <c r="AI22" s="55" t="str">
        <f>IF(AND('Mapa final'!$AB$48="Alta",'Mapa final'!$AD$48="Catastrófico"),CONCATENATE("R7C",'Mapa final'!$R$48),"")</f>
        <v/>
      </c>
      <c r="AJ22" s="55" t="str">
        <f>IF(AND('Mapa final'!$AB$49="Alta",'Mapa final'!$AD$49="Catastrófico"),CONCATENATE("R7C",'Mapa final'!$R$49),"")</f>
        <v/>
      </c>
      <c r="AK22" s="55" t="str">
        <f>IF(AND('Mapa final'!$AB$50="Alta",'Mapa final'!$AD$50="Catastrófico"),CONCATENATE("R7C",'Mapa final'!$R$50),"")</f>
        <v/>
      </c>
      <c r="AL22" s="55" t="str">
        <f>IF(AND('Mapa final'!$AB$51="Alta",'Mapa final'!$AD$51="Catastrófico"),CONCATENATE("R7C",'Mapa final'!$R$51),"")</f>
        <v/>
      </c>
      <c r="AM22" s="56" t="str">
        <f>IF(AND('Mapa final'!$AB$52="Alta",'Mapa final'!$AD$52="Catastrófico"),CONCATENATE("R7C",'Mapa final'!$R$52),"")</f>
        <v/>
      </c>
      <c r="AN22" s="82"/>
      <c r="AO22" s="371"/>
      <c r="AP22" s="372"/>
      <c r="AQ22" s="372"/>
      <c r="AR22" s="372"/>
      <c r="AS22" s="372"/>
      <c r="AT22" s="373"/>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282"/>
      <c r="C23" s="282"/>
      <c r="D23" s="283"/>
      <c r="E23" s="381"/>
      <c r="F23" s="380"/>
      <c r="G23" s="380"/>
      <c r="H23" s="380"/>
      <c r="I23" s="380"/>
      <c r="J23" s="66" t="str">
        <f>IF(AND('Mapa final'!$AB$53="Alta",'Mapa final'!$AD$53="Leve"),CONCATENATE("R8C",'Mapa final'!$R$53),"")</f>
        <v/>
      </c>
      <c r="K23" s="67" t="str">
        <f>IF(AND('Mapa final'!$AB$54="Alta",'Mapa final'!$AD$54="Leve"),CONCATENATE("R8C",'Mapa final'!$R$54),"")</f>
        <v/>
      </c>
      <c r="L23" s="67" t="str">
        <f>IF(AND('Mapa final'!$AB$55="Alta",'Mapa final'!$AD$55="Leve"),CONCATENATE("R8C",'Mapa final'!$R$55),"")</f>
        <v/>
      </c>
      <c r="M23" s="67" t="str">
        <f>IF(AND('Mapa final'!$AB$56="Alta",'Mapa final'!$AD$56="Leve"),CONCATENATE("R8C",'Mapa final'!$R$56),"")</f>
        <v/>
      </c>
      <c r="N23" s="67" t="str">
        <f>IF(AND('Mapa final'!$AB$57="Alta",'Mapa final'!$AD$57="Leve"),CONCATENATE("R8C",'Mapa final'!$R$57),"")</f>
        <v/>
      </c>
      <c r="O23" s="68" t="str">
        <f>IF(AND('Mapa final'!$AB$58="Alta",'Mapa final'!$AD$58="Leve"),CONCATENATE("R8C",'Mapa final'!$R$58),"")</f>
        <v/>
      </c>
      <c r="P23" s="66" t="str">
        <f>IF(AND('Mapa final'!$AB$53="Alta",'Mapa final'!$AD$53="Menor"),CONCATENATE("R8C",'Mapa final'!$R$53),"")</f>
        <v/>
      </c>
      <c r="Q23" s="67" t="str">
        <f>IF(AND('Mapa final'!$AB$54="Alta",'Mapa final'!$AD$54="Menor"),CONCATENATE("R8C",'Mapa final'!$R$54),"")</f>
        <v/>
      </c>
      <c r="R23" s="67" t="str">
        <f>IF(AND('Mapa final'!$AB$55="Alta",'Mapa final'!$AD$55="Menor"),CONCATENATE("R8C",'Mapa final'!$R$55),"")</f>
        <v/>
      </c>
      <c r="S23" s="67" t="str">
        <f>IF(AND('Mapa final'!$AB$56="Alta",'Mapa final'!$AD$56="Menor"),CONCATENATE("R8C",'Mapa final'!$R$56),"")</f>
        <v/>
      </c>
      <c r="T23" s="67" t="str">
        <f>IF(AND('Mapa final'!$AB$57="Alta",'Mapa final'!$AD$57="Menor"),CONCATENATE("R8C",'Mapa final'!$R$57),"")</f>
        <v/>
      </c>
      <c r="U23" s="68" t="str">
        <f>IF(AND('Mapa final'!$AB$58="Alta",'Mapa final'!$AD$58="Menor"),CONCATENATE("R8C",'Mapa final'!$R$58),"")</f>
        <v/>
      </c>
      <c r="V23" s="51" t="str">
        <f>IF(AND('Mapa final'!$AB$53="Alta",'Mapa final'!$AD$53="Moderado"),CONCATENATE("R8C",'Mapa final'!$R$53),"")</f>
        <v/>
      </c>
      <c r="W23" s="52" t="str">
        <f>IF(AND('Mapa final'!$AB$54="Alta",'Mapa final'!$AD$54="Moderado"),CONCATENATE("R8C",'Mapa final'!$R$54),"")</f>
        <v/>
      </c>
      <c r="X23" s="52" t="str">
        <f>IF(AND('Mapa final'!$AB$55="Alta",'Mapa final'!$AD$55="Moderado"),CONCATENATE("R8C",'Mapa final'!$R$55),"")</f>
        <v/>
      </c>
      <c r="Y23" s="52" t="str">
        <f>IF(AND('Mapa final'!$AB$56="Alta",'Mapa final'!$AD$56="Moderado"),CONCATENATE("R8C",'Mapa final'!$R$56),"")</f>
        <v/>
      </c>
      <c r="Z23" s="52" t="str">
        <f>IF(AND('Mapa final'!$AB$57="Alta",'Mapa final'!$AD$57="Moderado"),CONCATENATE("R8C",'Mapa final'!$R$57),"")</f>
        <v/>
      </c>
      <c r="AA23" s="53" t="str">
        <f>IF(AND('Mapa final'!$AB$58="Alta",'Mapa final'!$AD$58="Moderado"),CONCATENATE("R8C",'Mapa final'!$R$58),"")</f>
        <v/>
      </c>
      <c r="AB23" s="51" t="str">
        <f>IF(AND('Mapa final'!$AB$53="Alta",'Mapa final'!$AD$53="Mayor"),CONCATENATE("R8C",'Mapa final'!$R$53),"")</f>
        <v/>
      </c>
      <c r="AC23" s="52" t="str">
        <f>IF(AND('Mapa final'!$AB$54="Alta",'Mapa final'!$AD$54="Mayor"),CONCATENATE("R8C",'Mapa final'!$R$54),"")</f>
        <v/>
      </c>
      <c r="AD23" s="52" t="str">
        <f>IF(AND('Mapa final'!$AB$55="Alta",'Mapa final'!$AD$55="Mayor"),CONCATENATE("R8C",'Mapa final'!$R$55),"")</f>
        <v/>
      </c>
      <c r="AE23" s="52" t="str">
        <f>IF(AND('Mapa final'!$AB$56="Alta",'Mapa final'!$AD$56="Mayor"),CONCATENATE("R8C",'Mapa final'!$R$56),"")</f>
        <v/>
      </c>
      <c r="AF23" s="52" t="str">
        <f>IF(AND('Mapa final'!$AB$57="Alta",'Mapa final'!$AD$57="Mayor"),CONCATENATE("R8C",'Mapa final'!$R$57),"")</f>
        <v/>
      </c>
      <c r="AG23" s="53" t="str">
        <f>IF(AND('Mapa final'!$AB$58="Alta",'Mapa final'!$AD$58="Mayor"),CONCATENATE("R8C",'Mapa final'!$R$58),"")</f>
        <v/>
      </c>
      <c r="AH23" s="54" t="str">
        <f>IF(AND('Mapa final'!$AB$53="Alta",'Mapa final'!$AD$53="Catastrófico"),CONCATENATE("R8C",'Mapa final'!$R$53),"")</f>
        <v/>
      </c>
      <c r="AI23" s="55" t="str">
        <f>IF(AND('Mapa final'!$AB$54="Alta",'Mapa final'!$AD$54="Catastrófico"),CONCATENATE("R8C",'Mapa final'!$R$54),"")</f>
        <v/>
      </c>
      <c r="AJ23" s="55" t="str">
        <f>IF(AND('Mapa final'!$AB$55="Alta",'Mapa final'!$AD$55="Catastrófico"),CONCATENATE("R8C",'Mapa final'!$R$55),"")</f>
        <v/>
      </c>
      <c r="AK23" s="55" t="str">
        <f>IF(AND('Mapa final'!$AB$56="Alta",'Mapa final'!$AD$56="Catastrófico"),CONCATENATE("R8C",'Mapa final'!$R$56),"")</f>
        <v/>
      </c>
      <c r="AL23" s="55" t="str">
        <f>IF(AND('Mapa final'!$AB$57="Alta",'Mapa final'!$AD$57="Catastrófico"),CONCATENATE("R8C",'Mapa final'!$R$57),"")</f>
        <v/>
      </c>
      <c r="AM23" s="56" t="str">
        <f>IF(AND('Mapa final'!$AB$58="Alta",'Mapa final'!$AD$58="Catastrófico"),CONCATENATE("R8C",'Mapa final'!$R$58),"")</f>
        <v/>
      </c>
      <c r="AN23" s="82"/>
      <c r="AO23" s="371"/>
      <c r="AP23" s="372"/>
      <c r="AQ23" s="372"/>
      <c r="AR23" s="372"/>
      <c r="AS23" s="372"/>
      <c r="AT23" s="373"/>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282"/>
      <c r="C24" s="282"/>
      <c r="D24" s="283"/>
      <c r="E24" s="381"/>
      <c r="F24" s="380"/>
      <c r="G24" s="380"/>
      <c r="H24" s="380"/>
      <c r="I24" s="380"/>
      <c r="J24" s="66" t="str">
        <f>IF(AND('Mapa final'!$AB$59="Alta",'Mapa final'!$AD$59="Leve"),CONCATENATE("R9C",'Mapa final'!$R$59),"")</f>
        <v/>
      </c>
      <c r="K24" s="67" t="str">
        <f>IF(AND('Mapa final'!$AB$60="Alta",'Mapa final'!$AD$60="Leve"),CONCATENATE("R9C",'Mapa final'!$R$60),"")</f>
        <v/>
      </c>
      <c r="L24" s="67" t="str">
        <f>IF(AND('Mapa final'!$AB$61="Alta",'Mapa final'!$AD$61="Leve"),CONCATENATE("R9C",'Mapa final'!$R$61),"")</f>
        <v/>
      </c>
      <c r="M24" s="67" t="str">
        <f>IF(AND('Mapa final'!$AB$62="Alta",'Mapa final'!$AD$62="Leve"),CONCATENATE("R9C",'Mapa final'!$R$62),"")</f>
        <v/>
      </c>
      <c r="N24" s="67" t="str">
        <f>IF(AND('Mapa final'!$AB$63="Alta",'Mapa final'!$AD$63="Leve"),CONCATENATE("R9C",'Mapa final'!$R$63),"")</f>
        <v/>
      </c>
      <c r="O24" s="68" t="str">
        <f>IF(AND('Mapa final'!$AB$64="Alta",'Mapa final'!$AD$64="Leve"),CONCATENATE("R9C",'Mapa final'!$R$64),"")</f>
        <v/>
      </c>
      <c r="P24" s="66" t="str">
        <f>IF(AND('Mapa final'!$AB$59="Alta",'Mapa final'!$AD$59="Menor"),CONCATENATE("R9C",'Mapa final'!$R$59),"")</f>
        <v/>
      </c>
      <c r="Q24" s="67" t="str">
        <f>IF(AND('Mapa final'!$AB$60="Alta",'Mapa final'!$AD$60="Menor"),CONCATENATE("R9C",'Mapa final'!$R$60),"")</f>
        <v/>
      </c>
      <c r="R24" s="67" t="str">
        <f>IF(AND('Mapa final'!$AB$61="Alta",'Mapa final'!$AD$61="Menor"),CONCATENATE("R9C",'Mapa final'!$R$61),"")</f>
        <v/>
      </c>
      <c r="S24" s="67" t="str">
        <f>IF(AND('Mapa final'!$AB$62="Alta",'Mapa final'!$AD$62="Menor"),CONCATENATE("R9C",'Mapa final'!$R$62),"")</f>
        <v/>
      </c>
      <c r="T24" s="67" t="str">
        <f>IF(AND('Mapa final'!$AB$63="Alta",'Mapa final'!$AD$63="Menor"),CONCATENATE("R9C",'Mapa final'!$R$63),"")</f>
        <v/>
      </c>
      <c r="U24" s="68" t="str">
        <f>IF(AND('Mapa final'!$AB$64="Alta",'Mapa final'!$AD$64="Menor"),CONCATENATE("R9C",'Mapa final'!$R$64),"")</f>
        <v/>
      </c>
      <c r="V24" s="51" t="str">
        <f>IF(AND('Mapa final'!$AB$59="Alta",'Mapa final'!$AD$59="Moderado"),CONCATENATE("R9C",'Mapa final'!$R$59),"")</f>
        <v/>
      </c>
      <c r="W24" s="52" t="str">
        <f>IF(AND('Mapa final'!$AB$60="Alta",'Mapa final'!$AD$60="Moderado"),CONCATENATE("R9C",'Mapa final'!$R$60),"")</f>
        <v/>
      </c>
      <c r="X24" s="52" t="str">
        <f>IF(AND('Mapa final'!$AB$61="Alta",'Mapa final'!$AD$61="Moderado"),CONCATENATE("R9C",'Mapa final'!$R$61),"")</f>
        <v/>
      </c>
      <c r="Y24" s="52" t="str">
        <f>IF(AND('Mapa final'!$AB$62="Alta",'Mapa final'!$AD$62="Moderado"),CONCATENATE("R9C",'Mapa final'!$R$62),"")</f>
        <v/>
      </c>
      <c r="Z24" s="52" t="str">
        <f>IF(AND('Mapa final'!$AB$63="Alta",'Mapa final'!$AD$63="Moderado"),CONCATENATE("R9C",'Mapa final'!$R$63),"")</f>
        <v/>
      </c>
      <c r="AA24" s="53" t="str">
        <f>IF(AND('Mapa final'!$AB$64="Alta",'Mapa final'!$AD$64="Moderado"),CONCATENATE("R9C",'Mapa final'!$R$64),"")</f>
        <v/>
      </c>
      <c r="AB24" s="51" t="str">
        <f>IF(AND('Mapa final'!$AB$59="Alta",'Mapa final'!$AD$59="Mayor"),CONCATENATE("R9C",'Mapa final'!$R$59),"")</f>
        <v/>
      </c>
      <c r="AC24" s="52" t="str">
        <f>IF(AND('Mapa final'!$AB$60="Alta",'Mapa final'!$AD$60="Mayor"),CONCATENATE("R9C",'Mapa final'!$R$60),"")</f>
        <v/>
      </c>
      <c r="AD24" s="52" t="str">
        <f>IF(AND('Mapa final'!$AB$61="Alta",'Mapa final'!$AD$61="Mayor"),CONCATENATE("R9C",'Mapa final'!$R$61),"")</f>
        <v/>
      </c>
      <c r="AE24" s="52" t="str">
        <f>IF(AND('Mapa final'!$AB$62="Alta",'Mapa final'!$AD$62="Mayor"),CONCATENATE("R9C",'Mapa final'!$R$62),"")</f>
        <v/>
      </c>
      <c r="AF24" s="52" t="str">
        <f>IF(AND('Mapa final'!$AB$63="Alta",'Mapa final'!$AD$63="Mayor"),CONCATENATE("R9C",'Mapa final'!$R$63),"")</f>
        <v/>
      </c>
      <c r="AG24" s="53" t="str">
        <f>IF(AND('Mapa final'!$AB$64="Alta",'Mapa final'!$AD$64="Mayor"),CONCATENATE("R9C",'Mapa final'!$R$64),"")</f>
        <v/>
      </c>
      <c r="AH24" s="54" t="str">
        <f>IF(AND('Mapa final'!$AB$59="Alta",'Mapa final'!$AD$59="Catastrófico"),CONCATENATE("R9C",'Mapa final'!$R$59),"")</f>
        <v/>
      </c>
      <c r="AI24" s="55" t="str">
        <f>IF(AND('Mapa final'!$AB$60="Alta",'Mapa final'!$AD$60="Catastrófico"),CONCATENATE("R9C",'Mapa final'!$R$60),"")</f>
        <v/>
      </c>
      <c r="AJ24" s="55" t="str">
        <f>IF(AND('Mapa final'!$AB$61="Alta",'Mapa final'!$AD$61="Catastrófico"),CONCATENATE("R9C",'Mapa final'!$R$61),"")</f>
        <v/>
      </c>
      <c r="AK24" s="55" t="str">
        <f>IF(AND('Mapa final'!$AB$62="Alta",'Mapa final'!$AD$62="Catastrófico"),CONCATENATE("R9C",'Mapa final'!$R$62),"")</f>
        <v/>
      </c>
      <c r="AL24" s="55" t="str">
        <f>IF(AND('Mapa final'!$AB$63="Alta",'Mapa final'!$AD$63="Catastrófico"),CONCATENATE("R9C",'Mapa final'!$R$63),"")</f>
        <v/>
      </c>
      <c r="AM24" s="56" t="str">
        <f>IF(AND('Mapa final'!$AB$64="Alta",'Mapa final'!$AD$64="Catastrófico"),CONCATENATE("R9C",'Mapa final'!$R$64),"")</f>
        <v/>
      </c>
      <c r="AN24" s="82"/>
      <c r="AO24" s="371"/>
      <c r="AP24" s="372"/>
      <c r="AQ24" s="372"/>
      <c r="AR24" s="372"/>
      <c r="AS24" s="372"/>
      <c r="AT24" s="373"/>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282"/>
      <c r="C25" s="282"/>
      <c r="D25" s="283"/>
      <c r="E25" s="382"/>
      <c r="F25" s="383"/>
      <c r="G25" s="383"/>
      <c r="H25" s="383"/>
      <c r="I25" s="383"/>
      <c r="J25" s="69" t="str">
        <f>IF(AND('Mapa final'!$AB$65="Alta",'Mapa final'!$AD$65="Leve"),CONCATENATE("R10C",'Mapa final'!$R$65),"")</f>
        <v/>
      </c>
      <c r="K25" s="70" t="str">
        <f>IF(AND('Mapa final'!$AB$66="Alta",'Mapa final'!$AD$66="Leve"),CONCATENATE("R10C",'Mapa final'!$R$66),"")</f>
        <v/>
      </c>
      <c r="L25" s="70" t="str">
        <f>IF(AND('Mapa final'!$AB$67="Alta",'Mapa final'!$AD$67="Leve"),CONCATENATE("R10C",'Mapa final'!$R$67),"")</f>
        <v/>
      </c>
      <c r="M25" s="70" t="str">
        <f>IF(AND('Mapa final'!$AB$68="Alta",'Mapa final'!$AD$68="Leve"),CONCATENATE("R10C",'Mapa final'!$R$68),"")</f>
        <v/>
      </c>
      <c r="N25" s="70" t="str">
        <f>IF(AND('Mapa final'!$AB$69="Alta",'Mapa final'!$AD$69="Leve"),CONCATENATE("R10C",'Mapa final'!$R$69),"")</f>
        <v/>
      </c>
      <c r="O25" s="71" t="str">
        <f>IF(AND('Mapa final'!$AB$70="Alta",'Mapa final'!$AD$70="Leve"),CONCATENATE("R10C",'Mapa final'!$R$70),"")</f>
        <v/>
      </c>
      <c r="P25" s="69" t="str">
        <f>IF(AND('Mapa final'!$AB$65="Alta",'Mapa final'!$AD$65="Menor"),CONCATENATE("R10C",'Mapa final'!$R$65),"")</f>
        <v/>
      </c>
      <c r="Q25" s="70" t="str">
        <f>IF(AND('Mapa final'!$AB$66="Alta",'Mapa final'!$AD$66="Menor"),CONCATENATE("R10C",'Mapa final'!$R$66),"")</f>
        <v/>
      </c>
      <c r="R25" s="70" t="str">
        <f>IF(AND('Mapa final'!$AB$67="Alta",'Mapa final'!$AD$67="Menor"),CONCATENATE("R10C",'Mapa final'!$R$67),"")</f>
        <v/>
      </c>
      <c r="S25" s="70" t="str">
        <f>IF(AND('Mapa final'!$AB$68="Alta",'Mapa final'!$AD$68="Menor"),CONCATENATE("R10C",'Mapa final'!$R$68),"")</f>
        <v/>
      </c>
      <c r="T25" s="70" t="str">
        <f>IF(AND('Mapa final'!$AB$69="Alta",'Mapa final'!$AD$69="Menor"),CONCATENATE("R10C",'Mapa final'!$R$69),"")</f>
        <v/>
      </c>
      <c r="U25" s="71" t="str">
        <f>IF(AND('Mapa final'!$AB$70="Alta",'Mapa final'!$AD$70="Menor"),CONCATENATE("R10C",'Mapa final'!$R$70),"")</f>
        <v/>
      </c>
      <c r="V25" s="57" t="str">
        <f>IF(AND('Mapa final'!$AB$65="Alta",'Mapa final'!$AD$65="Moderado"),CONCATENATE("R10C",'Mapa final'!$R$65),"")</f>
        <v/>
      </c>
      <c r="W25" s="58" t="str">
        <f>IF(AND('Mapa final'!$AB$66="Alta",'Mapa final'!$AD$66="Moderado"),CONCATENATE("R10C",'Mapa final'!$R$66),"")</f>
        <v/>
      </c>
      <c r="X25" s="58" t="str">
        <f>IF(AND('Mapa final'!$AB$67="Alta",'Mapa final'!$AD$67="Moderado"),CONCATENATE("R10C",'Mapa final'!$R$67),"")</f>
        <v/>
      </c>
      <c r="Y25" s="58" t="str">
        <f>IF(AND('Mapa final'!$AB$68="Alta",'Mapa final'!$AD$68="Moderado"),CONCATENATE("R10C",'Mapa final'!$R$68),"")</f>
        <v/>
      </c>
      <c r="Z25" s="58" t="str">
        <f>IF(AND('Mapa final'!$AB$69="Alta",'Mapa final'!$AD$69="Moderado"),CONCATENATE("R10C",'Mapa final'!$R$69),"")</f>
        <v/>
      </c>
      <c r="AA25" s="59" t="str">
        <f>IF(AND('Mapa final'!$AB$70="Alta",'Mapa final'!$AD$70="Moderado"),CONCATENATE("R10C",'Mapa final'!$R$70),"")</f>
        <v/>
      </c>
      <c r="AB25" s="57" t="str">
        <f>IF(AND('Mapa final'!$AB$65="Alta",'Mapa final'!$AD$65="Mayor"),CONCATENATE("R10C",'Mapa final'!$R$65),"")</f>
        <v/>
      </c>
      <c r="AC25" s="58" t="str">
        <f>IF(AND('Mapa final'!$AB$66="Alta",'Mapa final'!$AD$66="Mayor"),CONCATENATE("R10C",'Mapa final'!$R$66),"")</f>
        <v/>
      </c>
      <c r="AD25" s="58" t="str">
        <f>IF(AND('Mapa final'!$AB$67="Alta",'Mapa final'!$AD$67="Mayor"),CONCATENATE("R10C",'Mapa final'!$R$67),"")</f>
        <v/>
      </c>
      <c r="AE25" s="58" t="str">
        <f>IF(AND('Mapa final'!$AB$68="Alta",'Mapa final'!$AD$68="Mayor"),CONCATENATE("R10C",'Mapa final'!$R$68),"")</f>
        <v/>
      </c>
      <c r="AF25" s="58" t="str">
        <f>IF(AND('Mapa final'!$AB$69="Alta",'Mapa final'!$AD$69="Mayor"),CONCATENATE("R10C",'Mapa final'!$R$69),"")</f>
        <v/>
      </c>
      <c r="AG25" s="59" t="str">
        <f>IF(AND('Mapa final'!$AB$70="Alta",'Mapa final'!$AD$70="Mayor"),CONCATENATE("R10C",'Mapa final'!$R$70),"")</f>
        <v/>
      </c>
      <c r="AH25" s="60" t="str">
        <f>IF(AND('Mapa final'!$AB$65="Alta",'Mapa final'!$AD$65="Catastrófico"),CONCATENATE("R10C",'Mapa final'!$R$65),"")</f>
        <v/>
      </c>
      <c r="AI25" s="61" t="str">
        <f>IF(AND('Mapa final'!$AB$66="Alta",'Mapa final'!$AD$66="Catastrófico"),CONCATENATE("R10C",'Mapa final'!$R$66),"")</f>
        <v/>
      </c>
      <c r="AJ25" s="61" t="str">
        <f>IF(AND('Mapa final'!$AB$67="Alta",'Mapa final'!$AD$67="Catastrófico"),CONCATENATE("R10C",'Mapa final'!$R$67),"")</f>
        <v/>
      </c>
      <c r="AK25" s="61" t="str">
        <f>IF(AND('Mapa final'!$AB$68="Alta",'Mapa final'!$AD$68="Catastrófico"),CONCATENATE("R10C",'Mapa final'!$R$68),"")</f>
        <v/>
      </c>
      <c r="AL25" s="61" t="str">
        <f>IF(AND('Mapa final'!$AB$69="Alta",'Mapa final'!$AD$69="Catastrófico"),CONCATENATE("R10C",'Mapa final'!$R$69),"")</f>
        <v/>
      </c>
      <c r="AM25" s="62" t="str">
        <f>IF(AND('Mapa final'!$AB$70="Alta",'Mapa final'!$AD$70="Catastrófico"),CONCATENATE("R10C",'Mapa final'!$R$70),"")</f>
        <v/>
      </c>
      <c r="AN25" s="82"/>
      <c r="AO25" s="374"/>
      <c r="AP25" s="375"/>
      <c r="AQ25" s="375"/>
      <c r="AR25" s="375"/>
      <c r="AS25" s="375"/>
      <c r="AT25" s="376"/>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282"/>
      <c r="C26" s="282"/>
      <c r="D26" s="283"/>
      <c r="E26" s="377" t="s">
        <v>109</v>
      </c>
      <c r="F26" s="378"/>
      <c r="G26" s="378"/>
      <c r="H26" s="378"/>
      <c r="I26" s="395"/>
      <c r="J26" s="63" t="str">
        <f>IF(AND('Mapa final'!$AB$11="Media",'Mapa final'!$AD$11="Leve"),CONCATENATE("R1C",'Mapa final'!$R$11),"")</f>
        <v/>
      </c>
      <c r="K26" s="64" t="str">
        <f>IF(AND('Mapa final'!$AB$12="Media",'Mapa final'!$AD$12="Leve"),CONCATENATE("R1C",'Mapa final'!$R$12),"")</f>
        <v/>
      </c>
      <c r="L26" s="64" t="str">
        <f>IF(AND('Mapa final'!$AB$13="Media",'Mapa final'!$AD$13="Leve"),CONCATENATE("R1C",'Mapa final'!$R$13),"")</f>
        <v/>
      </c>
      <c r="M26" s="64" t="str">
        <f>IF(AND('Mapa final'!$AB$14="Media",'Mapa final'!$AD$14="Leve"),CONCATENATE("R1C",'Mapa final'!$R$14),"")</f>
        <v/>
      </c>
      <c r="N26" s="64" t="str">
        <f>IF(AND('Mapa final'!$AB$15="Media",'Mapa final'!$AD$15="Leve"),CONCATENATE("R1C",'Mapa final'!$R$15),"")</f>
        <v/>
      </c>
      <c r="O26" s="65" t="str">
        <f>IF(AND('Mapa final'!$AB$16="Media",'Mapa final'!$AD$16="Leve"),CONCATENATE("R1C",'Mapa final'!$R$16),"")</f>
        <v/>
      </c>
      <c r="P26" s="63" t="str">
        <f>IF(AND('Mapa final'!$AB$11="Media",'Mapa final'!$AD$11="Menor"),CONCATENATE("R1C",'Mapa final'!$R$11),"")</f>
        <v/>
      </c>
      <c r="Q26" s="64" t="str">
        <f>IF(AND('Mapa final'!$AB$12="Media",'Mapa final'!$AD$12="Menor"),CONCATENATE("R1C",'Mapa final'!$R$12),"")</f>
        <v/>
      </c>
      <c r="R26" s="64" t="str">
        <f>IF(AND('Mapa final'!$AB$13="Media",'Mapa final'!$AD$13="Menor"),CONCATENATE("R1C",'Mapa final'!$R$13),"")</f>
        <v/>
      </c>
      <c r="S26" s="64" t="str">
        <f>IF(AND('Mapa final'!$AB$14="Media",'Mapa final'!$AD$14="Menor"),CONCATENATE("R1C",'Mapa final'!$R$14),"")</f>
        <v/>
      </c>
      <c r="T26" s="64" t="str">
        <f>IF(AND('Mapa final'!$AB$15="Media",'Mapa final'!$AD$15="Menor"),CONCATENATE("R1C",'Mapa final'!$R$15),"")</f>
        <v/>
      </c>
      <c r="U26" s="65" t="str">
        <f>IF(AND('Mapa final'!$AB$16="Media",'Mapa final'!$AD$16="Menor"),CONCATENATE("R1C",'Mapa final'!$R$16),"")</f>
        <v/>
      </c>
      <c r="V26" s="63" t="str">
        <f>IF(AND('Mapa final'!$AB$11="Media",'Mapa final'!$AD$11="Moderado"),CONCATENATE("R1C",'Mapa final'!$R$11),"")</f>
        <v/>
      </c>
      <c r="W26" s="64" t="str">
        <f>IF(AND('Mapa final'!$AB$12="Media",'Mapa final'!$AD$12="Moderado"),CONCATENATE("R1C",'Mapa final'!$R$12),"")</f>
        <v/>
      </c>
      <c r="X26" s="64" t="str">
        <f>IF(AND('Mapa final'!$AB$13="Media",'Mapa final'!$AD$13="Moderado"),CONCATENATE("R1C",'Mapa final'!$R$13),"")</f>
        <v/>
      </c>
      <c r="Y26" s="64" t="str">
        <f>IF(AND('Mapa final'!$AB$14="Media",'Mapa final'!$AD$14="Moderado"),CONCATENATE("R1C",'Mapa final'!$R$14),"")</f>
        <v/>
      </c>
      <c r="Z26" s="64" t="str">
        <f>IF(AND('Mapa final'!$AB$15="Media",'Mapa final'!$AD$15="Moderado"),CONCATENATE("R1C",'Mapa final'!$R$15),"")</f>
        <v/>
      </c>
      <c r="AA26" s="65" t="str">
        <f>IF(AND('Mapa final'!$AB$16="Media",'Mapa final'!$AD$16="Moderado"),CONCATENATE("R1C",'Mapa final'!$R$16),"")</f>
        <v/>
      </c>
      <c r="AB26" s="45" t="str">
        <f>IF(AND('Mapa final'!$AB$11="Media",'Mapa final'!$AD$11="Mayor"),CONCATENATE("R1C",'Mapa final'!$R$11),"")</f>
        <v/>
      </c>
      <c r="AC26" s="46" t="str">
        <f>IF(AND('Mapa final'!$AB$12="Media",'Mapa final'!$AD$12="Mayor"),CONCATENATE("R1C",'Mapa final'!$R$12),"")</f>
        <v/>
      </c>
      <c r="AD26" s="46" t="str">
        <f>IF(AND('Mapa final'!$AB$13="Media",'Mapa final'!$AD$13="Mayor"),CONCATENATE("R1C",'Mapa final'!$R$13),"")</f>
        <v/>
      </c>
      <c r="AE26" s="46" t="str">
        <f>IF(AND('Mapa final'!$AB$14="Media",'Mapa final'!$AD$14="Mayor"),CONCATENATE("R1C",'Mapa final'!$R$14),"")</f>
        <v/>
      </c>
      <c r="AF26" s="46" t="str">
        <f>IF(AND('Mapa final'!$AB$15="Media",'Mapa final'!$AD$15="Mayor"),CONCATENATE("R1C",'Mapa final'!$R$15),"")</f>
        <v/>
      </c>
      <c r="AG26" s="47" t="str">
        <f>IF(AND('Mapa final'!$AB$16="Media",'Mapa final'!$AD$16="Mayor"),CONCATENATE("R1C",'Mapa final'!$R$16),"")</f>
        <v/>
      </c>
      <c r="AH26" s="48" t="str">
        <f>IF(AND('Mapa final'!$AB$11="Media",'Mapa final'!$AD$11="Catastrófico"),CONCATENATE("R1C",'Mapa final'!$R$11),"")</f>
        <v/>
      </c>
      <c r="AI26" s="49" t="str">
        <f>IF(AND('Mapa final'!$AB$12="Media",'Mapa final'!$AD$12="Catastrófico"),CONCATENATE("R1C",'Mapa final'!$R$12),"")</f>
        <v/>
      </c>
      <c r="AJ26" s="49" t="str">
        <f>IF(AND('Mapa final'!$AB$13="Media",'Mapa final'!$AD$13="Catastrófico"),CONCATENATE("R1C",'Mapa final'!$R$13),"")</f>
        <v/>
      </c>
      <c r="AK26" s="49" t="str">
        <f>IF(AND('Mapa final'!$AB$14="Media",'Mapa final'!$AD$14="Catastrófico"),CONCATENATE("R1C",'Mapa final'!$R$14),"")</f>
        <v/>
      </c>
      <c r="AL26" s="49" t="str">
        <f>IF(AND('Mapa final'!$AB$15="Media",'Mapa final'!$AD$15="Catastrófico"),CONCATENATE("R1C",'Mapa final'!$R$15),"")</f>
        <v/>
      </c>
      <c r="AM26" s="50" t="str">
        <f>IF(AND('Mapa final'!$AB$16="Media",'Mapa final'!$AD$16="Catastrófico"),CONCATENATE("R1C",'Mapa final'!$R$16),"")</f>
        <v/>
      </c>
      <c r="AN26" s="82"/>
      <c r="AO26" s="407" t="s">
        <v>78</v>
      </c>
      <c r="AP26" s="408"/>
      <c r="AQ26" s="408"/>
      <c r="AR26" s="408"/>
      <c r="AS26" s="408"/>
      <c r="AT26" s="409"/>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282"/>
      <c r="C27" s="282"/>
      <c r="D27" s="283"/>
      <c r="E27" s="379"/>
      <c r="F27" s="380"/>
      <c r="G27" s="380"/>
      <c r="H27" s="380"/>
      <c r="I27" s="396"/>
      <c r="J27" s="66" t="str">
        <f>IF(AND('Mapa final'!$AB$17="Media",'Mapa final'!$AD$17="Leve"),CONCATENATE("R2C",'Mapa final'!$R$17),"")</f>
        <v/>
      </c>
      <c r="K27" s="67" t="str">
        <f>IF(AND('Mapa final'!$AB$18="Media",'Mapa final'!$AD$18="Leve"),CONCATENATE("R2C",'Mapa final'!$R$18),"")</f>
        <v/>
      </c>
      <c r="L27" s="67" t="str">
        <f>IF(AND('Mapa final'!$AB$19="Media",'Mapa final'!$AD$19="Leve"),CONCATENATE("R2C",'Mapa final'!$R$19),"")</f>
        <v/>
      </c>
      <c r="M27" s="67" t="str">
        <f>IF(AND('Mapa final'!$AB$20="Media",'Mapa final'!$AD$20="Leve"),CONCATENATE("R2C",'Mapa final'!$R$20),"")</f>
        <v/>
      </c>
      <c r="N27" s="67" t="str">
        <f>IF(AND('Mapa final'!$AB$21="Media",'Mapa final'!$AD$21="Leve"),CONCATENATE("R2C",'Mapa final'!$R$21),"")</f>
        <v/>
      </c>
      <c r="O27" s="68" t="str">
        <f>IF(AND('Mapa final'!$AB$22="Media",'Mapa final'!$AD$22="Leve"),CONCATENATE("R2C",'Mapa final'!$R$22),"")</f>
        <v/>
      </c>
      <c r="P27" s="66" t="str">
        <f>IF(AND('Mapa final'!$AB$17="Media",'Mapa final'!$AD$17="Menor"),CONCATENATE("R2C",'Mapa final'!$R$17),"")</f>
        <v/>
      </c>
      <c r="Q27" s="67" t="str">
        <f>IF(AND('Mapa final'!$AB$18="Media",'Mapa final'!$AD$18="Menor"),CONCATENATE("R2C",'Mapa final'!$R$18),"")</f>
        <v/>
      </c>
      <c r="R27" s="67" t="str">
        <f>IF(AND('Mapa final'!$AB$19="Media",'Mapa final'!$AD$19="Menor"),CONCATENATE("R2C",'Mapa final'!$R$19),"")</f>
        <v/>
      </c>
      <c r="S27" s="67" t="str">
        <f>IF(AND('Mapa final'!$AB$20="Media",'Mapa final'!$AD$20="Menor"),CONCATENATE("R2C",'Mapa final'!$R$20),"")</f>
        <v/>
      </c>
      <c r="T27" s="67" t="str">
        <f>IF(AND('Mapa final'!$AB$21="Media",'Mapa final'!$AD$21="Menor"),CONCATENATE("R2C",'Mapa final'!$R$21),"")</f>
        <v/>
      </c>
      <c r="U27" s="68" t="str">
        <f>IF(AND('Mapa final'!$AB$22="Media",'Mapa final'!$AD$22="Menor"),CONCATENATE("R2C",'Mapa final'!$R$22),"")</f>
        <v/>
      </c>
      <c r="V27" s="66" t="str">
        <f>IF(AND('Mapa final'!$AB$17="Media",'Mapa final'!$AD$17="Moderado"),CONCATENATE("R2C",'Mapa final'!$R$17),"")</f>
        <v/>
      </c>
      <c r="W27" s="67" t="str">
        <f>IF(AND('Mapa final'!$AB$18="Media",'Mapa final'!$AD$18="Moderado"),CONCATENATE("R2C",'Mapa final'!$R$18),"")</f>
        <v/>
      </c>
      <c r="X27" s="67" t="str">
        <f>IF(AND('Mapa final'!$AB$19="Media",'Mapa final'!$AD$19="Moderado"),CONCATENATE("R2C",'Mapa final'!$R$19),"")</f>
        <v/>
      </c>
      <c r="Y27" s="67" t="str">
        <f>IF(AND('Mapa final'!$AB$20="Media",'Mapa final'!$AD$20="Moderado"),CONCATENATE("R2C",'Mapa final'!$R$20),"")</f>
        <v/>
      </c>
      <c r="Z27" s="67" t="str">
        <f>IF(AND('Mapa final'!$AB$21="Media",'Mapa final'!$AD$21="Moderado"),CONCATENATE("R2C",'Mapa final'!$R$21),"")</f>
        <v/>
      </c>
      <c r="AA27" s="68" t="str">
        <f>IF(AND('Mapa final'!$AB$22="Media",'Mapa final'!$AD$22="Moderado"),CONCATENATE("R2C",'Mapa final'!$R$22),"")</f>
        <v/>
      </c>
      <c r="AB27" s="51" t="str">
        <f>IF(AND('Mapa final'!$AB$17="Media",'Mapa final'!$AD$17="Mayor"),CONCATENATE("R2C",'Mapa final'!$R$17),"")</f>
        <v/>
      </c>
      <c r="AC27" s="52" t="str">
        <f>IF(AND('Mapa final'!$AB$18="Media",'Mapa final'!$AD$18="Mayor"),CONCATENATE("R2C",'Mapa final'!$R$18),"")</f>
        <v/>
      </c>
      <c r="AD27" s="52" t="str">
        <f>IF(AND('Mapa final'!$AB$19="Media",'Mapa final'!$AD$19="Mayor"),CONCATENATE("R2C",'Mapa final'!$R$19),"")</f>
        <v/>
      </c>
      <c r="AE27" s="52" t="str">
        <f>IF(AND('Mapa final'!$AB$20="Media",'Mapa final'!$AD$20="Mayor"),CONCATENATE("R2C",'Mapa final'!$R$20),"")</f>
        <v/>
      </c>
      <c r="AF27" s="52" t="str">
        <f>IF(AND('Mapa final'!$AB$21="Media",'Mapa final'!$AD$21="Mayor"),CONCATENATE("R2C",'Mapa final'!$R$21),"")</f>
        <v/>
      </c>
      <c r="AG27" s="53" t="str">
        <f>IF(AND('Mapa final'!$AB$22="Media",'Mapa final'!$AD$22="Mayor"),CONCATENATE("R2C",'Mapa final'!$R$22),"")</f>
        <v/>
      </c>
      <c r="AH27" s="54" t="str">
        <f>IF(AND('Mapa final'!$AB$17="Media",'Mapa final'!$AD$17="Catastrófico"),CONCATENATE("R2C",'Mapa final'!$R$17),"")</f>
        <v/>
      </c>
      <c r="AI27" s="55" t="str">
        <f>IF(AND('Mapa final'!$AB$18="Media",'Mapa final'!$AD$18="Catastrófico"),CONCATENATE("R2C",'Mapa final'!$R$18),"")</f>
        <v/>
      </c>
      <c r="AJ27" s="55" t="str">
        <f>IF(AND('Mapa final'!$AB$19="Media",'Mapa final'!$AD$19="Catastrófico"),CONCATENATE("R2C",'Mapa final'!$R$19),"")</f>
        <v/>
      </c>
      <c r="AK27" s="55" t="str">
        <f>IF(AND('Mapa final'!$AB$20="Media",'Mapa final'!$AD$20="Catastrófico"),CONCATENATE("R2C",'Mapa final'!$R$20),"")</f>
        <v/>
      </c>
      <c r="AL27" s="55" t="str">
        <f>IF(AND('Mapa final'!$AB$21="Media",'Mapa final'!$AD$21="Catastrófico"),CONCATENATE("R2C",'Mapa final'!$R$21),"")</f>
        <v/>
      </c>
      <c r="AM27" s="56" t="str">
        <f>IF(AND('Mapa final'!$AB$22="Media",'Mapa final'!$AD$22="Catastrófico"),CONCATENATE("R2C",'Mapa final'!$R$22),"")</f>
        <v/>
      </c>
      <c r="AN27" s="82"/>
      <c r="AO27" s="410"/>
      <c r="AP27" s="411"/>
      <c r="AQ27" s="411"/>
      <c r="AR27" s="411"/>
      <c r="AS27" s="411"/>
      <c r="AT27" s="41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282"/>
      <c r="C28" s="282"/>
      <c r="D28" s="283"/>
      <c r="E28" s="381"/>
      <c r="F28" s="380"/>
      <c r="G28" s="380"/>
      <c r="H28" s="380"/>
      <c r="I28" s="396"/>
      <c r="J28" s="66" t="str">
        <f>IF(AND('Mapa final'!$AB$23="Media",'Mapa final'!$AD$23="Leve"),CONCATENATE("R3C",'Mapa final'!$R$23),"")</f>
        <v/>
      </c>
      <c r="K28" s="67" t="str">
        <f>IF(AND('Mapa final'!$AB$24="Media",'Mapa final'!$AD$24="Leve"),CONCATENATE("R3C",'Mapa final'!$R$24),"")</f>
        <v/>
      </c>
      <c r="L28" s="67" t="str">
        <f>IF(AND('Mapa final'!$AB$25="Media",'Mapa final'!$AD$25="Leve"),CONCATENATE("R3C",'Mapa final'!$R$25),"")</f>
        <v/>
      </c>
      <c r="M28" s="67" t="str">
        <f>IF(AND('Mapa final'!$AB$26="Media",'Mapa final'!$AD$26="Leve"),CONCATENATE("R3C",'Mapa final'!$R$26),"")</f>
        <v/>
      </c>
      <c r="N28" s="67" t="str">
        <f>IF(AND('Mapa final'!$AB$27="Media",'Mapa final'!$AD$27="Leve"),CONCATENATE("R3C",'Mapa final'!$R$27),"")</f>
        <v/>
      </c>
      <c r="O28" s="68" t="str">
        <f>IF(AND('Mapa final'!$AB$28="Media",'Mapa final'!$AD$28="Leve"),CONCATENATE("R3C",'Mapa final'!$R$28),"")</f>
        <v/>
      </c>
      <c r="P28" s="66" t="str">
        <f>IF(AND('Mapa final'!$AB$23="Media",'Mapa final'!$AD$23="Menor"),CONCATENATE("R3C",'Mapa final'!$R$23),"")</f>
        <v/>
      </c>
      <c r="Q28" s="67" t="str">
        <f>IF(AND('Mapa final'!$AB$24="Media",'Mapa final'!$AD$24="Menor"),CONCATENATE("R3C",'Mapa final'!$R$24),"")</f>
        <v/>
      </c>
      <c r="R28" s="67" t="str">
        <f>IF(AND('Mapa final'!$AB$25="Media",'Mapa final'!$AD$25="Menor"),CONCATENATE("R3C",'Mapa final'!$R$25),"")</f>
        <v/>
      </c>
      <c r="S28" s="67" t="str">
        <f>IF(AND('Mapa final'!$AB$26="Media",'Mapa final'!$AD$26="Menor"),CONCATENATE("R3C",'Mapa final'!$R$26),"")</f>
        <v/>
      </c>
      <c r="T28" s="67" t="str">
        <f>IF(AND('Mapa final'!$AB$27="Media",'Mapa final'!$AD$27="Menor"),CONCATENATE("R3C",'Mapa final'!$R$27),"")</f>
        <v/>
      </c>
      <c r="U28" s="68" t="str">
        <f>IF(AND('Mapa final'!$AB$28="Media",'Mapa final'!$AD$28="Menor"),CONCATENATE("R3C",'Mapa final'!$R$28),"")</f>
        <v/>
      </c>
      <c r="V28" s="66" t="str">
        <f>IF(AND('Mapa final'!$AB$23="Media",'Mapa final'!$AD$23="Moderado"),CONCATENATE("R3C",'Mapa final'!$R$23),"")</f>
        <v/>
      </c>
      <c r="W28" s="67" t="str">
        <f>IF(AND('Mapa final'!$AB$24="Media",'Mapa final'!$AD$24="Moderado"),CONCATENATE("R3C",'Mapa final'!$R$24),"")</f>
        <v/>
      </c>
      <c r="X28" s="67" t="str">
        <f>IF(AND('Mapa final'!$AB$25="Media",'Mapa final'!$AD$25="Moderado"),CONCATENATE("R3C",'Mapa final'!$R$25),"")</f>
        <v/>
      </c>
      <c r="Y28" s="67" t="str">
        <f>IF(AND('Mapa final'!$AB$26="Media",'Mapa final'!$AD$26="Moderado"),CONCATENATE("R3C",'Mapa final'!$R$26),"")</f>
        <v/>
      </c>
      <c r="Z28" s="67" t="str">
        <f>IF(AND('Mapa final'!$AB$27="Media",'Mapa final'!$AD$27="Moderado"),CONCATENATE("R3C",'Mapa final'!$R$27),"")</f>
        <v/>
      </c>
      <c r="AA28" s="68" t="str">
        <f>IF(AND('Mapa final'!$AB$28="Media",'Mapa final'!$AD$28="Moderado"),CONCATENATE("R3C",'Mapa final'!$R$28),"")</f>
        <v/>
      </c>
      <c r="AB28" s="51" t="str">
        <f>IF(AND('Mapa final'!$AB$23="Media",'Mapa final'!$AD$23="Mayor"),CONCATENATE("R3C",'Mapa final'!$R$23),"")</f>
        <v/>
      </c>
      <c r="AC28" s="52" t="str">
        <f>IF(AND('Mapa final'!$AB$24="Media",'Mapa final'!$AD$24="Mayor"),CONCATENATE("R3C",'Mapa final'!$R$24),"")</f>
        <v/>
      </c>
      <c r="AD28" s="52" t="str">
        <f>IF(AND('Mapa final'!$AB$25="Media",'Mapa final'!$AD$25="Mayor"),CONCATENATE("R3C",'Mapa final'!$R$25),"")</f>
        <v/>
      </c>
      <c r="AE28" s="52" t="str">
        <f>IF(AND('Mapa final'!$AB$26="Media",'Mapa final'!$AD$26="Mayor"),CONCATENATE("R3C",'Mapa final'!$R$26),"")</f>
        <v/>
      </c>
      <c r="AF28" s="52" t="str">
        <f>IF(AND('Mapa final'!$AB$27="Media",'Mapa final'!$AD$27="Mayor"),CONCATENATE("R3C",'Mapa final'!$R$27),"")</f>
        <v/>
      </c>
      <c r="AG28" s="53" t="str">
        <f>IF(AND('Mapa final'!$AB$28="Media",'Mapa final'!$AD$28="Mayor"),CONCATENATE("R3C",'Mapa final'!$R$28),"")</f>
        <v/>
      </c>
      <c r="AH28" s="54" t="str">
        <f>IF(AND('Mapa final'!$AB$23="Media",'Mapa final'!$AD$23="Catastrófico"),CONCATENATE("R3C",'Mapa final'!$R$23),"")</f>
        <v/>
      </c>
      <c r="AI28" s="55" t="str">
        <f>IF(AND('Mapa final'!$AB$24="Media",'Mapa final'!$AD$24="Catastrófico"),CONCATENATE("R3C",'Mapa final'!$R$24),"")</f>
        <v/>
      </c>
      <c r="AJ28" s="55" t="str">
        <f>IF(AND('Mapa final'!$AB$25="Media",'Mapa final'!$AD$25="Catastrófico"),CONCATENATE("R3C",'Mapa final'!$R$25),"")</f>
        <v/>
      </c>
      <c r="AK28" s="55" t="str">
        <f>IF(AND('Mapa final'!$AB$26="Media",'Mapa final'!$AD$26="Catastrófico"),CONCATENATE("R3C",'Mapa final'!$R$26),"")</f>
        <v/>
      </c>
      <c r="AL28" s="55" t="str">
        <f>IF(AND('Mapa final'!$AB$27="Media",'Mapa final'!$AD$27="Catastrófico"),CONCATENATE("R3C",'Mapa final'!$R$27),"")</f>
        <v/>
      </c>
      <c r="AM28" s="56" t="str">
        <f>IF(AND('Mapa final'!$AB$28="Media",'Mapa final'!$AD$28="Catastrófico"),CONCATENATE("R3C",'Mapa final'!$R$28),"")</f>
        <v/>
      </c>
      <c r="AN28" s="82"/>
      <c r="AO28" s="410"/>
      <c r="AP28" s="411"/>
      <c r="AQ28" s="411"/>
      <c r="AR28" s="411"/>
      <c r="AS28" s="411"/>
      <c r="AT28" s="41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282"/>
      <c r="C29" s="282"/>
      <c r="D29" s="283"/>
      <c r="E29" s="381"/>
      <c r="F29" s="380"/>
      <c r="G29" s="380"/>
      <c r="H29" s="380"/>
      <c r="I29" s="396"/>
      <c r="J29" s="66" t="str">
        <f>IF(AND('Mapa final'!$AB$29="Media",'Mapa final'!$AD$29="Leve"),CONCATENATE("R4C",'Mapa final'!$R$29),"")</f>
        <v/>
      </c>
      <c r="K29" s="67" t="str">
        <f>IF(AND('Mapa final'!$AB$30="Media",'Mapa final'!$AD$30="Leve"),CONCATENATE("R4C",'Mapa final'!$R$30),"")</f>
        <v/>
      </c>
      <c r="L29" s="67" t="str">
        <f>IF(AND('Mapa final'!$AB$31="Media",'Mapa final'!$AD$31="Leve"),CONCATENATE("R4C",'Mapa final'!$R$31),"")</f>
        <v/>
      </c>
      <c r="M29" s="67" t="str">
        <f>IF(AND('Mapa final'!$AB$32="Media",'Mapa final'!$AD$32="Leve"),CONCATENATE("R4C",'Mapa final'!$R$32),"")</f>
        <v/>
      </c>
      <c r="N29" s="67" t="str">
        <f>IF(AND('Mapa final'!$AB$33="Media",'Mapa final'!$AD$33="Leve"),CONCATENATE("R4C",'Mapa final'!$R$33),"")</f>
        <v/>
      </c>
      <c r="O29" s="68" t="str">
        <f>IF(AND('Mapa final'!$AB$34="Media",'Mapa final'!$AD$34="Leve"),CONCATENATE("R4C",'Mapa final'!$R$34),"")</f>
        <v/>
      </c>
      <c r="P29" s="66" t="str">
        <f>IF(AND('Mapa final'!$AB$29="Media",'Mapa final'!$AD$29="Menor"),CONCATENATE("R4C",'Mapa final'!$R$29),"")</f>
        <v/>
      </c>
      <c r="Q29" s="67" t="str">
        <f>IF(AND('Mapa final'!$AB$30="Media",'Mapa final'!$AD$30="Menor"),CONCATENATE("R4C",'Mapa final'!$R$30),"")</f>
        <v/>
      </c>
      <c r="R29" s="67" t="str">
        <f>IF(AND('Mapa final'!$AB$31="Media",'Mapa final'!$AD$31="Menor"),CONCATENATE("R4C",'Mapa final'!$R$31),"")</f>
        <v/>
      </c>
      <c r="S29" s="67" t="str">
        <f>IF(AND('Mapa final'!$AB$32="Media",'Mapa final'!$AD$32="Menor"),CONCATENATE("R4C",'Mapa final'!$R$32),"")</f>
        <v/>
      </c>
      <c r="T29" s="67" t="str">
        <f>IF(AND('Mapa final'!$AB$33="Media",'Mapa final'!$AD$33="Menor"),CONCATENATE("R4C",'Mapa final'!$R$33),"")</f>
        <v/>
      </c>
      <c r="U29" s="68" t="str">
        <f>IF(AND('Mapa final'!$AB$34="Media",'Mapa final'!$AD$34="Menor"),CONCATENATE("R4C",'Mapa final'!$R$34),"")</f>
        <v/>
      </c>
      <c r="V29" s="66" t="str">
        <f>IF(AND('Mapa final'!$AB$29="Media",'Mapa final'!$AD$29="Moderado"),CONCATENATE("R4C",'Mapa final'!$R$29),"")</f>
        <v/>
      </c>
      <c r="W29" s="67" t="str">
        <f>IF(AND('Mapa final'!$AB$30="Media",'Mapa final'!$AD$30="Moderado"),CONCATENATE("R4C",'Mapa final'!$R$30),"")</f>
        <v/>
      </c>
      <c r="X29" s="67" t="str">
        <f>IF(AND('Mapa final'!$AB$31="Media",'Mapa final'!$AD$31="Moderado"),CONCATENATE("R4C",'Mapa final'!$R$31),"")</f>
        <v/>
      </c>
      <c r="Y29" s="67" t="str">
        <f>IF(AND('Mapa final'!$AB$32="Media",'Mapa final'!$AD$32="Moderado"),CONCATENATE("R4C",'Mapa final'!$R$32),"")</f>
        <v/>
      </c>
      <c r="Z29" s="67" t="str">
        <f>IF(AND('Mapa final'!$AB$33="Media",'Mapa final'!$AD$33="Moderado"),CONCATENATE("R4C",'Mapa final'!$R$33),"")</f>
        <v/>
      </c>
      <c r="AA29" s="68" t="str">
        <f>IF(AND('Mapa final'!$AB$34="Media",'Mapa final'!$AD$34="Moderado"),CONCATENATE("R4C",'Mapa final'!$R$34),"")</f>
        <v/>
      </c>
      <c r="AB29" s="51" t="str">
        <f>IF(AND('Mapa final'!$AB$29="Media",'Mapa final'!$AD$29="Mayor"),CONCATENATE("R4C",'Mapa final'!$R$29),"")</f>
        <v/>
      </c>
      <c r="AC29" s="52" t="str">
        <f>IF(AND('Mapa final'!$AB$30="Media",'Mapa final'!$AD$30="Mayor"),CONCATENATE("R4C",'Mapa final'!$R$30),"")</f>
        <v/>
      </c>
      <c r="AD29" s="52" t="str">
        <f>IF(AND('Mapa final'!$AB$31="Media",'Mapa final'!$AD$31="Mayor"),CONCATENATE("R4C",'Mapa final'!$R$31),"")</f>
        <v/>
      </c>
      <c r="AE29" s="52" t="str">
        <f>IF(AND('Mapa final'!$AB$32="Media",'Mapa final'!$AD$32="Mayor"),CONCATENATE("R4C",'Mapa final'!$R$32),"")</f>
        <v/>
      </c>
      <c r="AF29" s="52" t="str">
        <f>IF(AND('Mapa final'!$AB$33="Media",'Mapa final'!$AD$33="Mayor"),CONCATENATE("R4C",'Mapa final'!$R$33),"")</f>
        <v/>
      </c>
      <c r="AG29" s="53" t="str">
        <f>IF(AND('Mapa final'!$AB$34="Media",'Mapa final'!$AD$34="Mayor"),CONCATENATE("R4C",'Mapa final'!$R$34),"")</f>
        <v/>
      </c>
      <c r="AH29" s="54" t="str">
        <f>IF(AND('Mapa final'!$AB$29="Media",'Mapa final'!$AD$29="Catastrófico"),CONCATENATE("R4C",'Mapa final'!$R$29),"")</f>
        <v/>
      </c>
      <c r="AI29" s="55" t="str">
        <f>IF(AND('Mapa final'!$AB$30="Media",'Mapa final'!$AD$30="Catastrófico"),CONCATENATE("R4C",'Mapa final'!$R$30),"")</f>
        <v/>
      </c>
      <c r="AJ29" s="55" t="str">
        <f>IF(AND('Mapa final'!$AB$31="Media",'Mapa final'!$AD$31="Catastrófico"),CONCATENATE("R4C",'Mapa final'!$R$31),"")</f>
        <v/>
      </c>
      <c r="AK29" s="55" t="str">
        <f>IF(AND('Mapa final'!$AB$32="Media",'Mapa final'!$AD$32="Catastrófico"),CONCATENATE("R4C",'Mapa final'!$R$32),"")</f>
        <v/>
      </c>
      <c r="AL29" s="55" t="str">
        <f>IF(AND('Mapa final'!$AB$33="Media",'Mapa final'!$AD$33="Catastrófico"),CONCATENATE("R4C",'Mapa final'!$R$33),"")</f>
        <v/>
      </c>
      <c r="AM29" s="56" t="str">
        <f>IF(AND('Mapa final'!$AB$34="Media",'Mapa final'!$AD$34="Catastrófico"),CONCATENATE("R4C",'Mapa final'!$R$34),"")</f>
        <v/>
      </c>
      <c r="AN29" s="82"/>
      <c r="AO29" s="410"/>
      <c r="AP29" s="411"/>
      <c r="AQ29" s="411"/>
      <c r="AR29" s="411"/>
      <c r="AS29" s="411"/>
      <c r="AT29" s="41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282"/>
      <c r="C30" s="282"/>
      <c r="D30" s="283"/>
      <c r="E30" s="381"/>
      <c r="F30" s="380"/>
      <c r="G30" s="380"/>
      <c r="H30" s="380"/>
      <c r="I30" s="396"/>
      <c r="J30" s="66" t="str">
        <f>IF(AND('Mapa final'!$AB$35="Media",'Mapa final'!$AD$35="Leve"),CONCATENATE("R5C",'Mapa final'!$R$35),"")</f>
        <v/>
      </c>
      <c r="K30" s="67" t="str">
        <f>IF(AND('Mapa final'!$AB$36="Media",'Mapa final'!$AD$36="Leve"),CONCATENATE("R5C",'Mapa final'!$R$36),"")</f>
        <v/>
      </c>
      <c r="L30" s="67" t="str">
        <f>IF(AND('Mapa final'!$AB$37="Media",'Mapa final'!$AD$37="Leve"),CONCATENATE("R5C",'Mapa final'!$R$37),"")</f>
        <v/>
      </c>
      <c r="M30" s="67" t="str">
        <f>IF(AND('Mapa final'!$AB$38="Media",'Mapa final'!$AD$38="Leve"),CONCATENATE("R5C",'Mapa final'!$R$38),"")</f>
        <v/>
      </c>
      <c r="N30" s="67" t="str">
        <f>IF(AND('Mapa final'!$AB$39="Media",'Mapa final'!$AD$39="Leve"),CONCATENATE("R5C",'Mapa final'!$R$39),"")</f>
        <v/>
      </c>
      <c r="O30" s="68" t="str">
        <f>IF(AND('Mapa final'!$AB$40="Media",'Mapa final'!$AD$40="Leve"),CONCATENATE("R5C",'Mapa final'!$R$40),"")</f>
        <v/>
      </c>
      <c r="P30" s="66" t="str">
        <f>IF(AND('Mapa final'!$AB$35="Media",'Mapa final'!$AD$35="Menor"),CONCATENATE("R5C",'Mapa final'!$R$35),"")</f>
        <v/>
      </c>
      <c r="Q30" s="67" t="str">
        <f>IF(AND('Mapa final'!$AB$36="Media",'Mapa final'!$AD$36="Menor"),CONCATENATE("R5C",'Mapa final'!$R$36),"")</f>
        <v/>
      </c>
      <c r="R30" s="67" t="str">
        <f>IF(AND('Mapa final'!$AB$37="Media",'Mapa final'!$AD$37="Menor"),CONCATENATE("R5C",'Mapa final'!$R$37),"")</f>
        <v/>
      </c>
      <c r="S30" s="67" t="str">
        <f>IF(AND('Mapa final'!$AB$38="Media",'Mapa final'!$AD$38="Menor"),CONCATENATE("R5C",'Mapa final'!$R$38),"")</f>
        <v/>
      </c>
      <c r="T30" s="67" t="str">
        <f>IF(AND('Mapa final'!$AB$39="Media",'Mapa final'!$AD$39="Menor"),CONCATENATE("R5C",'Mapa final'!$R$39),"")</f>
        <v/>
      </c>
      <c r="U30" s="68" t="str">
        <f>IF(AND('Mapa final'!$AB$40="Media",'Mapa final'!$AD$40="Menor"),CONCATENATE("R5C",'Mapa final'!$R$40),"")</f>
        <v/>
      </c>
      <c r="V30" s="66" t="str">
        <f>IF(AND('Mapa final'!$AB$35="Media",'Mapa final'!$AD$35="Moderado"),CONCATENATE("R5C",'Mapa final'!$R$35),"")</f>
        <v/>
      </c>
      <c r="W30" s="67" t="str">
        <f>IF(AND('Mapa final'!$AB$36="Media",'Mapa final'!$AD$36="Moderado"),CONCATENATE("R5C",'Mapa final'!$R$36),"")</f>
        <v/>
      </c>
      <c r="X30" s="67" t="str">
        <f>IF(AND('Mapa final'!$AB$37="Media",'Mapa final'!$AD$37="Moderado"),CONCATENATE("R5C",'Mapa final'!$R$37),"")</f>
        <v/>
      </c>
      <c r="Y30" s="67" t="str">
        <f>IF(AND('Mapa final'!$AB$38="Media",'Mapa final'!$AD$38="Moderado"),CONCATENATE("R5C",'Mapa final'!$R$38),"")</f>
        <v/>
      </c>
      <c r="Z30" s="67" t="str">
        <f>IF(AND('Mapa final'!$AB$39="Media",'Mapa final'!$AD$39="Moderado"),CONCATENATE("R5C",'Mapa final'!$R$39),"")</f>
        <v/>
      </c>
      <c r="AA30" s="68" t="str">
        <f>IF(AND('Mapa final'!$AB$40="Media",'Mapa final'!$AD$40="Moderado"),CONCATENATE("R5C",'Mapa final'!$R$40),"")</f>
        <v/>
      </c>
      <c r="AB30" s="51" t="str">
        <f>IF(AND('Mapa final'!$AB$35="Media",'Mapa final'!$AD$35="Mayor"),CONCATENATE("R5C",'Mapa final'!$R$35),"")</f>
        <v/>
      </c>
      <c r="AC30" s="52" t="str">
        <f>IF(AND('Mapa final'!$AB$36="Media",'Mapa final'!$AD$36="Mayor"),CONCATENATE("R5C",'Mapa final'!$R$36),"")</f>
        <v/>
      </c>
      <c r="AD30" s="52" t="str">
        <f>IF(AND('Mapa final'!$AB$37="Media",'Mapa final'!$AD$37="Mayor"),CONCATENATE("R5C",'Mapa final'!$R$37),"")</f>
        <v/>
      </c>
      <c r="AE30" s="52" t="str">
        <f>IF(AND('Mapa final'!$AB$38="Media",'Mapa final'!$AD$38="Mayor"),CONCATENATE("R5C",'Mapa final'!$R$38),"")</f>
        <v/>
      </c>
      <c r="AF30" s="52" t="str">
        <f>IF(AND('Mapa final'!$AB$39="Media",'Mapa final'!$AD$39="Mayor"),CONCATENATE("R5C",'Mapa final'!$R$39),"")</f>
        <v/>
      </c>
      <c r="AG30" s="53" t="str">
        <f>IF(AND('Mapa final'!$AB$40="Media",'Mapa final'!$AD$40="Mayor"),CONCATENATE("R5C",'Mapa final'!$R$40),"")</f>
        <v/>
      </c>
      <c r="AH30" s="54" t="str">
        <f>IF(AND('Mapa final'!$AB$35="Media",'Mapa final'!$AD$35="Catastrófico"),CONCATENATE("R5C",'Mapa final'!$R$35),"")</f>
        <v/>
      </c>
      <c r="AI30" s="55" t="str">
        <f>IF(AND('Mapa final'!$AB$36="Media",'Mapa final'!$AD$36="Catastrófico"),CONCATENATE("R5C",'Mapa final'!$R$36),"")</f>
        <v/>
      </c>
      <c r="AJ30" s="55" t="str">
        <f>IF(AND('Mapa final'!$AB$37="Media",'Mapa final'!$AD$37="Catastrófico"),CONCATENATE("R5C",'Mapa final'!$R$37),"")</f>
        <v/>
      </c>
      <c r="AK30" s="55" t="str">
        <f>IF(AND('Mapa final'!$AB$38="Media",'Mapa final'!$AD$38="Catastrófico"),CONCATENATE("R5C",'Mapa final'!$R$38),"")</f>
        <v/>
      </c>
      <c r="AL30" s="55" t="str">
        <f>IF(AND('Mapa final'!$AB$39="Media",'Mapa final'!$AD$39="Catastrófico"),CONCATENATE("R5C",'Mapa final'!$R$39),"")</f>
        <v/>
      </c>
      <c r="AM30" s="56" t="str">
        <f>IF(AND('Mapa final'!$AB$40="Media",'Mapa final'!$AD$40="Catastrófico"),CONCATENATE("R5C",'Mapa final'!$R$40),"")</f>
        <v/>
      </c>
      <c r="AN30" s="82"/>
      <c r="AO30" s="410"/>
      <c r="AP30" s="411"/>
      <c r="AQ30" s="411"/>
      <c r="AR30" s="411"/>
      <c r="AS30" s="411"/>
      <c r="AT30" s="41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282"/>
      <c r="C31" s="282"/>
      <c r="D31" s="283"/>
      <c r="E31" s="381"/>
      <c r="F31" s="380"/>
      <c r="G31" s="380"/>
      <c r="H31" s="380"/>
      <c r="I31" s="396"/>
      <c r="J31" s="66" t="str">
        <f>IF(AND('Mapa final'!$AB$41="Media",'Mapa final'!$AD$41="Leve"),CONCATENATE("R6C",'Mapa final'!$R$41),"")</f>
        <v/>
      </c>
      <c r="K31" s="67" t="str">
        <f>IF(AND('Mapa final'!$AB$42="Media",'Mapa final'!$AD$42="Leve"),CONCATENATE("R6C",'Mapa final'!$R$42),"")</f>
        <v/>
      </c>
      <c r="L31" s="67" t="str">
        <f>IF(AND('Mapa final'!$AB$43="Media",'Mapa final'!$AD$43="Leve"),CONCATENATE("R6C",'Mapa final'!$R$43),"")</f>
        <v/>
      </c>
      <c r="M31" s="67" t="str">
        <f>IF(AND('Mapa final'!$AB$44="Media",'Mapa final'!$AD$44="Leve"),CONCATENATE("R6C",'Mapa final'!$R$44),"")</f>
        <v/>
      </c>
      <c r="N31" s="67" t="str">
        <f>IF(AND('Mapa final'!$AB$45="Media",'Mapa final'!$AD$45="Leve"),CONCATENATE("R6C",'Mapa final'!$R$45),"")</f>
        <v/>
      </c>
      <c r="O31" s="68" t="str">
        <f>IF(AND('Mapa final'!$AB$46="Media",'Mapa final'!$AD$46="Leve"),CONCATENATE("R6C",'Mapa final'!$R$46),"")</f>
        <v/>
      </c>
      <c r="P31" s="66" t="str">
        <f>IF(AND('Mapa final'!$AB$41="Media",'Mapa final'!$AD$41="Menor"),CONCATENATE("R6C",'Mapa final'!$R$41),"")</f>
        <v/>
      </c>
      <c r="Q31" s="67" t="str">
        <f>IF(AND('Mapa final'!$AB$42="Media",'Mapa final'!$AD$42="Menor"),CONCATENATE("R6C",'Mapa final'!$R$42),"")</f>
        <v/>
      </c>
      <c r="R31" s="67" t="str">
        <f>IF(AND('Mapa final'!$AB$43="Media",'Mapa final'!$AD$43="Menor"),CONCATENATE("R6C",'Mapa final'!$R$43),"")</f>
        <v/>
      </c>
      <c r="S31" s="67" t="str">
        <f>IF(AND('Mapa final'!$AB$44="Media",'Mapa final'!$AD$44="Menor"),CONCATENATE("R6C",'Mapa final'!$R$44),"")</f>
        <v/>
      </c>
      <c r="T31" s="67" t="str">
        <f>IF(AND('Mapa final'!$AB$45="Media",'Mapa final'!$AD$45="Menor"),CONCATENATE("R6C",'Mapa final'!$R$45),"")</f>
        <v/>
      </c>
      <c r="U31" s="68" t="str">
        <f>IF(AND('Mapa final'!$AB$46="Media",'Mapa final'!$AD$46="Menor"),CONCATENATE("R6C",'Mapa final'!$R$46),"")</f>
        <v/>
      </c>
      <c r="V31" s="66" t="str">
        <f>IF(AND('Mapa final'!$AB$41="Media",'Mapa final'!$AD$41="Moderado"),CONCATENATE("R6C",'Mapa final'!$R$41),"")</f>
        <v/>
      </c>
      <c r="W31" s="67" t="str">
        <f>IF(AND('Mapa final'!$AB$42="Media",'Mapa final'!$AD$42="Moderado"),CONCATENATE("R6C",'Mapa final'!$R$42),"")</f>
        <v/>
      </c>
      <c r="X31" s="67" t="str">
        <f>IF(AND('Mapa final'!$AB$43="Media",'Mapa final'!$AD$43="Moderado"),CONCATENATE("R6C",'Mapa final'!$R$43),"")</f>
        <v/>
      </c>
      <c r="Y31" s="67" t="str">
        <f>IF(AND('Mapa final'!$AB$44="Media",'Mapa final'!$AD$44="Moderado"),CONCATENATE("R6C",'Mapa final'!$R$44),"")</f>
        <v/>
      </c>
      <c r="Z31" s="67" t="str">
        <f>IF(AND('Mapa final'!$AB$45="Media",'Mapa final'!$AD$45="Moderado"),CONCATENATE("R6C",'Mapa final'!$R$45),"")</f>
        <v/>
      </c>
      <c r="AA31" s="68" t="str">
        <f>IF(AND('Mapa final'!$AB$46="Media",'Mapa final'!$AD$46="Moderado"),CONCATENATE("R6C",'Mapa final'!$R$46),"")</f>
        <v/>
      </c>
      <c r="AB31" s="51" t="str">
        <f>IF(AND('Mapa final'!$AB$41="Media",'Mapa final'!$AD$41="Mayor"),CONCATENATE("R6C",'Mapa final'!$R$41),"")</f>
        <v/>
      </c>
      <c r="AC31" s="52" t="str">
        <f>IF(AND('Mapa final'!$AB$42="Media",'Mapa final'!$AD$42="Mayor"),CONCATENATE("R6C",'Mapa final'!$R$42),"")</f>
        <v/>
      </c>
      <c r="AD31" s="52" t="str">
        <f>IF(AND('Mapa final'!$AB$43="Media",'Mapa final'!$AD$43="Mayor"),CONCATENATE("R6C",'Mapa final'!$R$43),"")</f>
        <v/>
      </c>
      <c r="AE31" s="52" t="str">
        <f>IF(AND('Mapa final'!$AB$44="Media",'Mapa final'!$AD$44="Mayor"),CONCATENATE("R6C",'Mapa final'!$R$44),"")</f>
        <v/>
      </c>
      <c r="AF31" s="52" t="str">
        <f>IF(AND('Mapa final'!$AB$45="Media",'Mapa final'!$AD$45="Mayor"),CONCATENATE("R6C",'Mapa final'!$R$45),"")</f>
        <v/>
      </c>
      <c r="AG31" s="53" t="str">
        <f>IF(AND('Mapa final'!$AB$46="Media",'Mapa final'!$AD$46="Mayor"),CONCATENATE("R6C",'Mapa final'!$R$46),"")</f>
        <v/>
      </c>
      <c r="AH31" s="54" t="str">
        <f>IF(AND('Mapa final'!$AB$41="Media",'Mapa final'!$AD$41="Catastrófico"),CONCATENATE("R6C",'Mapa final'!$R$41),"")</f>
        <v/>
      </c>
      <c r="AI31" s="55" t="str">
        <f>IF(AND('Mapa final'!$AB$42="Media",'Mapa final'!$AD$42="Catastrófico"),CONCATENATE("R6C",'Mapa final'!$R$42),"")</f>
        <v/>
      </c>
      <c r="AJ31" s="55" t="str">
        <f>IF(AND('Mapa final'!$AB$43="Media",'Mapa final'!$AD$43="Catastrófico"),CONCATENATE("R6C",'Mapa final'!$R$43),"")</f>
        <v/>
      </c>
      <c r="AK31" s="55" t="str">
        <f>IF(AND('Mapa final'!$AB$44="Media",'Mapa final'!$AD$44="Catastrófico"),CONCATENATE("R6C",'Mapa final'!$R$44),"")</f>
        <v/>
      </c>
      <c r="AL31" s="55" t="str">
        <f>IF(AND('Mapa final'!$AB$45="Media",'Mapa final'!$AD$45="Catastrófico"),CONCATENATE("R6C",'Mapa final'!$R$45),"")</f>
        <v/>
      </c>
      <c r="AM31" s="56" t="str">
        <f>IF(AND('Mapa final'!$AB$46="Media",'Mapa final'!$AD$46="Catastrófico"),CONCATENATE("R6C",'Mapa final'!$R$46),"")</f>
        <v/>
      </c>
      <c r="AN31" s="82"/>
      <c r="AO31" s="410"/>
      <c r="AP31" s="411"/>
      <c r="AQ31" s="411"/>
      <c r="AR31" s="411"/>
      <c r="AS31" s="411"/>
      <c r="AT31" s="41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282"/>
      <c r="C32" s="282"/>
      <c r="D32" s="283"/>
      <c r="E32" s="381"/>
      <c r="F32" s="380"/>
      <c r="G32" s="380"/>
      <c r="H32" s="380"/>
      <c r="I32" s="396"/>
      <c r="J32" s="66" t="str">
        <f>IF(AND('Mapa final'!$AB$47="Media",'Mapa final'!$AD$47="Leve"),CONCATENATE("R7C",'Mapa final'!$R$47),"")</f>
        <v/>
      </c>
      <c r="K32" s="67" t="str">
        <f>IF(AND('Mapa final'!$AB$48="Media",'Mapa final'!$AD$48="Leve"),CONCATENATE("R7C",'Mapa final'!$R$48),"")</f>
        <v/>
      </c>
      <c r="L32" s="67" t="str">
        <f>IF(AND('Mapa final'!$AB$49="Media",'Mapa final'!$AD$49="Leve"),CONCATENATE("R7C",'Mapa final'!$R$49),"")</f>
        <v/>
      </c>
      <c r="M32" s="67" t="str">
        <f>IF(AND('Mapa final'!$AB$50="Media",'Mapa final'!$AD$50="Leve"),CONCATENATE("R7C",'Mapa final'!$R$50),"")</f>
        <v/>
      </c>
      <c r="N32" s="67" t="str">
        <f>IF(AND('Mapa final'!$AB$51="Media",'Mapa final'!$AD$51="Leve"),CONCATENATE("R7C",'Mapa final'!$R$51),"")</f>
        <v/>
      </c>
      <c r="O32" s="68" t="str">
        <f>IF(AND('Mapa final'!$AB$52="Media",'Mapa final'!$AD$52="Leve"),CONCATENATE("R7C",'Mapa final'!$R$52),"")</f>
        <v/>
      </c>
      <c r="P32" s="66" t="str">
        <f>IF(AND('Mapa final'!$AB$47="Media",'Mapa final'!$AD$47="Menor"),CONCATENATE("R7C",'Mapa final'!$R$47),"")</f>
        <v/>
      </c>
      <c r="Q32" s="67" t="str">
        <f>IF(AND('Mapa final'!$AB$48="Media",'Mapa final'!$AD$48="Menor"),CONCATENATE("R7C",'Mapa final'!$R$48),"")</f>
        <v/>
      </c>
      <c r="R32" s="67" t="str">
        <f>IF(AND('Mapa final'!$AB$49="Media",'Mapa final'!$AD$49="Menor"),CONCATENATE("R7C",'Mapa final'!$R$49),"")</f>
        <v/>
      </c>
      <c r="S32" s="67" t="str">
        <f>IF(AND('Mapa final'!$AB$50="Media",'Mapa final'!$AD$50="Menor"),CONCATENATE("R7C",'Mapa final'!$R$50),"")</f>
        <v/>
      </c>
      <c r="T32" s="67" t="str">
        <f>IF(AND('Mapa final'!$AB$51="Media",'Mapa final'!$AD$51="Menor"),CONCATENATE("R7C",'Mapa final'!$R$51),"")</f>
        <v/>
      </c>
      <c r="U32" s="68" t="str">
        <f>IF(AND('Mapa final'!$AB$52="Media",'Mapa final'!$AD$52="Menor"),CONCATENATE("R7C",'Mapa final'!$R$52),"")</f>
        <v/>
      </c>
      <c r="V32" s="66" t="str">
        <f>IF(AND('Mapa final'!$AB$47="Media",'Mapa final'!$AD$47="Moderado"),CONCATENATE("R7C",'Mapa final'!$R$47),"")</f>
        <v/>
      </c>
      <c r="W32" s="67" t="str">
        <f>IF(AND('Mapa final'!$AB$48="Media",'Mapa final'!$AD$48="Moderado"),CONCATENATE("R7C",'Mapa final'!$R$48),"")</f>
        <v/>
      </c>
      <c r="X32" s="67" t="str">
        <f>IF(AND('Mapa final'!$AB$49="Media",'Mapa final'!$AD$49="Moderado"),CONCATENATE("R7C",'Mapa final'!$R$49),"")</f>
        <v/>
      </c>
      <c r="Y32" s="67" t="str">
        <f>IF(AND('Mapa final'!$AB$50="Media",'Mapa final'!$AD$50="Moderado"),CONCATENATE("R7C",'Mapa final'!$R$50),"")</f>
        <v/>
      </c>
      <c r="Z32" s="67" t="str">
        <f>IF(AND('Mapa final'!$AB$51="Media",'Mapa final'!$AD$51="Moderado"),CONCATENATE("R7C",'Mapa final'!$R$51),"")</f>
        <v/>
      </c>
      <c r="AA32" s="68" t="str">
        <f>IF(AND('Mapa final'!$AB$52="Media",'Mapa final'!$AD$52="Moderado"),CONCATENATE("R7C",'Mapa final'!$R$52),"")</f>
        <v/>
      </c>
      <c r="AB32" s="51" t="str">
        <f>IF(AND('Mapa final'!$AB$47="Media",'Mapa final'!$AD$47="Mayor"),CONCATENATE("R7C",'Mapa final'!$R$47),"")</f>
        <v/>
      </c>
      <c r="AC32" s="52" t="str">
        <f>IF(AND('Mapa final'!$AB$48="Media",'Mapa final'!$AD$48="Mayor"),CONCATENATE("R7C",'Mapa final'!$R$48),"")</f>
        <v/>
      </c>
      <c r="AD32" s="52" t="str">
        <f>IF(AND('Mapa final'!$AB$49="Media",'Mapa final'!$AD$49="Mayor"),CONCATENATE("R7C",'Mapa final'!$R$49),"")</f>
        <v/>
      </c>
      <c r="AE32" s="52" t="str">
        <f>IF(AND('Mapa final'!$AB$50="Media",'Mapa final'!$AD$50="Mayor"),CONCATENATE("R7C",'Mapa final'!$R$50),"")</f>
        <v/>
      </c>
      <c r="AF32" s="52" t="str">
        <f>IF(AND('Mapa final'!$AB$51="Media",'Mapa final'!$AD$51="Mayor"),CONCATENATE("R7C",'Mapa final'!$R$51),"")</f>
        <v/>
      </c>
      <c r="AG32" s="53" t="str">
        <f>IF(AND('Mapa final'!$AB$52="Media",'Mapa final'!$AD$52="Mayor"),CONCATENATE("R7C",'Mapa final'!$R$52),"")</f>
        <v/>
      </c>
      <c r="AH32" s="54" t="str">
        <f>IF(AND('Mapa final'!$AB$47="Media",'Mapa final'!$AD$47="Catastrófico"),CONCATENATE("R7C",'Mapa final'!$R$47),"")</f>
        <v/>
      </c>
      <c r="AI32" s="55" t="str">
        <f>IF(AND('Mapa final'!$AB$48="Media",'Mapa final'!$AD$48="Catastrófico"),CONCATENATE("R7C",'Mapa final'!$R$48),"")</f>
        <v/>
      </c>
      <c r="AJ32" s="55" t="str">
        <f>IF(AND('Mapa final'!$AB$49="Media",'Mapa final'!$AD$49="Catastrófico"),CONCATENATE("R7C",'Mapa final'!$R$49),"")</f>
        <v/>
      </c>
      <c r="AK32" s="55" t="str">
        <f>IF(AND('Mapa final'!$AB$50="Media",'Mapa final'!$AD$50="Catastrófico"),CONCATENATE("R7C",'Mapa final'!$R$50),"")</f>
        <v/>
      </c>
      <c r="AL32" s="55" t="str">
        <f>IF(AND('Mapa final'!$AB$51="Media",'Mapa final'!$AD$51="Catastrófico"),CONCATENATE("R7C",'Mapa final'!$R$51),"")</f>
        <v/>
      </c>
      <c r="AM32" s="56" t="str">
        <f>IF(AND('Mapa final'!$AB$52="Media",'Mapa final'!$AD$52="Catastrófico"),CONCATENATE("R7C",'Mapa final'!$R$52),"")</f>
        <v/>
      </c>
      <c r="AN32" s="82"/>
      <c r="AO32" s="410"/>
      <c r="AP32" s="411"/>
      <c r="AQ32" s="411"/>
      <c r="AR32" s="411"/>
      <c r="AS32" s="411"/>
      <c r="AT32" s="41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282"/>
      <c r="C33" s="282"/>
      <c r="D33" s="283"/>
      <c r="E33" s="381"/>
      <c r="F33" s="380"/>
      <c r="G33" s="380"/>
      <c r="H33" s="380"/>
      <c r="I33" s="396"/>
      <c r="J33" s="66" t="str">
        <f>IF(AND('Mapa final'!$AB$53="Media",'Mapa final'!$AD$53="Leve"),CONCATENATE("R8C",'Mapa final'!$R$53),"")</f>
        <v/>
      </c>
      <c r="K33" s="67" t="str">
        <f>IF(AND('Mapa final'!$AB$54="Media",'Mapa final'!$AD$54="Leve"),CONCATENATE("R8C",'Mapa final'!$R$54),"")</f>
        <v/>
      </c>
      <c r="L33" s="67" t="str">
        <f>IF(AND('Mapa final'!$AB$55="Media",'Mapa final'!$AD$55="Leve"),CONCATENATE("R8C",'Mapa final'!$R$55),"")</f>
        <v/>
      </c>
      <c r="M33" s="67" t="str">
        <f>IF(AND('Mapa final'!$AB$56="Media",'Mapa final'!$AD$56="Leve"),CONCATENATE("R8C",'Mapa final'!$R$56),"")</f>
        <v/>
      </c>
      <c r="N33" s="67" t="str">
        <f>IF(AND('Mapa final'!$AB$57="Media",'Mapa final'!$AD$57="Leve"),CONCATENATE("R8C",'Mapa final'!$R$57),"")</f>
        <v/>
      </c>
      <c r="O33" s="68" t="str">
        <f>IF(AND('Mapa final'!$AB$58="Media",'Mapa final'!$AD$58="Leve"),CONCATENATE("R8C",'Mapa final'!$R$58),"")</f>
        <v/>
      </c>
      <c r="P33" s="66" t="str">
        <f>IF(AND('Mapa final'!$AB$53="Media",'Mapa final'!$AD$53="Menor"),CONCATENATE("R8C",'Mapa final'!$R$53),"")</f>
        <v/>
      </c>
      <c r="Q33" s="67" t="str">
        <f>IF(AND('Mapa final'!$AB$54="Media",'Mapa final'!$AD$54="Menor"),CONCATENATE("R8C",'Mapa final'!$R$54),"")</f>
        <v/>
      </c>
      <c r="R33" s="67" t="str">
        <f>IF(AND('Mapa final'!$AB$55="Media",'Mapa final'!$AD$55="Menor"),CONCATENATE("R8C",'Mapa final'!$R$55),"")</f>
        <v/>
      </c>
      <c r="S33" s="67" t="str">
        <f>IF(AND('Mapa final'!$AB$56="Media",'Mapa final'!$AD$56="Menor"),CONCATENATE("R8C",'Mapa final'!$R$56),"")</f>
        <v/>
      </c>
      <c r="T33" s="67" t="str">
        <f>IF(AND('Mapa final'!$AB$57="Media",'Mapa final'!$AD$57="Menor"),CONCATENATE("R8C",'Mapa final'!$R$57),"")</f>
        <v/>
      </c>
      <c r="U33" s="68" t="str">
        <f>IF(AND('Mapa final'!$AB$58="Media",'Mapa final'!$AD$58="Menor"),CONCATENATE("R8C",'Mapa final'!$R$58),"")</f>
        <v/>
      </c>
      <c r="V33" s="66" t="str">
        <f>IF(AND('Mapa final'!$AB$53="Media",'Mapa final'!$AD$53="Moderado"),CONCATENATE("R8C",'Mapa final'!$R$53),"")</f>
        <v/>
      </c>
      <c r="W33" s="67" t="str">
        <f>IF(AND('Mapa final'!$AB$54="Media",'Mapa final'!$AD$54="Moderado"),CONCATENATE("R8C",'Mapa final'!$R$54),"")</f>
        <v/>
      </c>
      <c r="X33" s="67" t="str">
        <f>IF(AND('Mapa final'!$AB$55="Media",'Mapa final'!$AD$55="Moderado"),CONCATENATE("R8C",'Mapa final'!$R$55),"")</f>
        <v/>
      </c>
      <c r="Y33" s="67" t="str">
        <f>IF(AND('Mapa final'!$AB$56="Media",'Mapa final'!$AD$56="Moderado"),CONCATENATE("R8C",'Mapa final'!$R$56),"")</f>
        <v/>
      </c>
      <c r="Z33" s="67" t="str">
        <f>IF(AND('Mapa final'!$AB$57="Media",'Mapa final'!$AD$57="Moderado"),CONCATENATE("R8C",'Mapa final'!$R$57),"")</f>
        <v/>
      </c>
      <c r="AA33" s="68" t="str">
        <f>IF(AND('Mapa final'!$AB$58="Media",'Mapa final'!$AD$58="Moderado"),CONCATENATE("R8C",'Mapa final'!$R$58),"")</f>
        <v/>
      </c>
      <c r="AB33" s="51" t="str">
        <f>IF(AND('Mapa final'!$AB$53="Media",'Mapa final'!$AD$53="Mayor"),CONCATENATE("R8C",'Mapa final'!$R$53),"")</f>
        <v/>
      </c>
      <c r="AC33" s="52" t="str">
        <f>IF(AND('Mapa final'!$AB$54="Media",'Mapa final'!$AD$54="Mayor"),CONCATENATE("R8C",'Mapa final'!$R$54),"")</f>
        <v/>
      </c>
      <c r="AD33" s="52" t="str">
        <f>IF(AND('Mapa final'!$AB$55="Media",'Mapa final'!$AD$55="Mayor"),CONCATENATE("R8C",'Mapa final'!$R$55),"")</f>
        <v/>
      </c>
      <c r="AE33" s="52" t="str">
        <f>IF(AND('Mapa final'!$AB$56="Media",'Mapa final'!$AD$56="Mayor"),CONCATENATE("R8C",'Mapa final'!$R$56),"")</f>
        <v/>
      </c>
      <c r="AF33" s="52" t="str">
        <f>IF(AND('Mapa final'!$AB$57="Media",'Mapa final'!$AD$57="Mayor"),CONCATENATE("R8C",'Mapa final'!$R$57),"")</f>
        <v/>
      </c>
      <c r="AG33" s="53" t="str">
        <f>IF(AND('Mapa final'!$AB$58="Media",'Mapa final'!$AD$58="Mayor"),CONCATENATE("R8C",'Mapa final'!$R$58),"")</f>
        <v/>
      </c>
      <c r="AH33" s="54" t="str">
        <f>IF(AND('Mapa final'!$AB$53="Media",'Mapa final'!$AD$53="Catastrófico"),CONCATENATE("R8C",'Mapa final'!$R$53),"")</f>
        <v/>
      </c>
      <c r="AI33" s="55" t="str">
        <f>IF(AND('Mapa final'!$AB$54="Media",'Mapa final'!$AD$54="Catastrófico"),CONCATENATE("R8C",'Mapa final'!$R$54),"")</f>
        <v/>
      </c>
      <c r="AJ33" s="55" t="str">
        <f>IF(AND('Mapa final'!$AB$55="Media",'Mapa final'!$AD$55="Catastrófico"),CONCATENATE("R8C",'Mapa final'!$R$55),"")</f>
        <v/>
      </c>
      <c r="AK33" s="55" t="str">
        <f>IF(AND('Mapa final'!$AB$56="Media",'Mapa final'!$AD$56="Catastrófico"),CONCATENATE("R8C",'Mapa final'!$R$56),"")</f>
        <v/>
      </c>
      <c r="AL33" s="55" t="str">
        <f>IF(AND('Mapa final'!$AB$57="Media",'Mapa final'!$AD$57="Catastrófico"),CONCATENATE("R8C",'Mapa final'!$R$57),"")</f>
        <v/>
      </c>
      <c r="AM33" s="56" t="str">
        <f>IF(AND('Mapa final'!$AB$58="Media",'Mapa final'!$AD$58="Catastrófico"),CONCATENATE("R8C",'Mapa final'!$R$58),"")</f>
        <v/>
      </c>
      <c r="AN33" s="82"/>
      <c r="AO33" s="410"/>
      <c r="AP33" s="411"/>
      <c r="AQ33" s="411"/>
      <c r="AR33" s="411"/>
      <c r="AS33" s="411"/>
      <c r="AT33" s="41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282"/>
      <c r="C34" s="282"/>
      <c r="D34" s="283"/>
      <c r="E34" s="381"/>
      <c r="F34" s="380"/>
      <c r="G34" s="380"/>
      <c r="H34" s="380"/>
      <c r="I34" s="396"/>
      <c r="J34" s="66" t="str">
        <f>IF(AND('Mapa final'!$AB$59="Media",'Mapa final'!$AD$59="Leve"),CONCATENATE("R9C",'Mapa final'!$R$59),"")</f>
        <v/>
      </c>
      <c r="K34" s="67" t="str">
        <f>IF(AND('Mapa final'!$AB$60="Media",'Mapa final'!$AD$60="Leve"),CONCATENATE("R9C",'Mapa final'!$R$60),"")</f>
        <v/>
      </c>
      <c r="L34" s="67" t="str">
        <f>IF(AND('Mapa final'!$AB$61="Media",'Mapa final'!$AD$61="Leve"),CONCATENATE("R9C",'Mapa final'!$R$61),"")</f>
        <v/>
      </c>
      <c r="M34" s="67" t="str">
        <f>IF(AND('Mapa final'!$AB$62="Media",'Mapa final'!$AD$62="Leve"),CONCATENATE("R9C",'Mapa final'!$R$62),"")</f>
        <v/>
      </c>
      <c r="N34" s="67" t="str">
        <f>IF(AND('Mapa final'!$AB$63="Media",'Mapa final'!$AD$63="Leve"),CONCATENATE("R9C",'Mapa final'!$R$63),"")</f>
        <v/>
      </c>
      <c r="O34" s="68" t="str">
        <f>IF(AND('Mapa final'!$AB$64="Media",'Mapa final'!$AD$64="Leve"),CONCATENATE("R9C",'Mapa final'!$R$64),"")</f>
        <v/>
      </c>
      <c r="P34" s="66" t="str">
        <f>IF(AND('Mapa final'!$AB$59="Media",'Mapa final'!$AD$59="Menor"),CONCATENATE("R9C",'Mapa final'!$R$59),"")</f>
        <v/>
      </c>
      <c r="Q34" s="67" t="str">
        <f>IF(AND('Mapa final'!$AB$60="Media",'Mapa final'!$AD$60="Menor"),CONCATENATE("R9C",'Mapa final'!$R$60),"")</f>
        <v/>
      </c>
      <c r="R34" s="67" t="str">
        <f>IF(AND('Mapa final'!$AB$61="Media",'Mapa final'!$AD$61="Menor"),CONCATENATE("R9C",'Mapa final'!$R$61),"")</f>
        <v/>
      </c>
      <c r="S34" s="67" t="str">
        <f>IF(AND('Mapa final'!$AB$62="Media",'Mapa final'!$AD$62="Menor"),CONCATENATE("R9C",'Mapa final'!$R$62),"")</f>
        <v/>
      </c>
      <c r="T34" s="67" t="str">
        <f>IF(AND('Mapa final'!$AB$63="Media",'Mapa final'!$AD$63="Menor"),CONCATENATE("R9C",'Mapa final'!$R$63),"")</f>
        <v/>
      </c>
      <c r="U34" s="68" t="str">
        <f>IF(AND('Mapa final'!$AB$64="Media",'Mapa final'!$AD$64="Menor"),CONCATENATE("R9C",'Mapa final'!$R$64),"")</f>
        <v/>
      </c>
      <c r="V34" s="66" t="str">
        <f>IF(AND('Mapa final'!$AB$59="Media",'Mapa final'!$AD$59="Moderado"),CONCATENATE("R9C",'Mapa final'!$R$59),"")</f>
        <v/>
      </c>
      <c r="W34" s="67" t="str">
        <f>IF(AND('Mapa final'!$AB$60="Media",'Mapa final'!$AD$60="Moderado"),CONCATENATE("R9C",'Mapa final'!$R$60),"")</f>
        <v/>
      </c>
      <c r="X34" s="67" t="str">
        <f>IF(AND('Mapa final'!$AB$61="Media",'Mapa final'!$AD$61="Moderado"),CONCATENATE("R9C",'Mapa final'!$R$61),"")</f>
        <v/>
      </c>
      <c r="Y34" s="67" t="str">
        <f>IF(AND('Mapa final'!$AB$62="Media",'Mapa final'!$AD$62="Moderado"),CONCATENATE("R9C",'Mapa final'!$R$62),"")</f>
        <v/>
      </c>
      <c r="Z34" s="67" t="str">
        <f>IF(AND('Mapa final'!$AB$63="Media",'Mapa final'!$AD$63="Moderado"),CONCATENATE("R9C",'Mapa final'!$R$63),"")</f>
        <v/>
      </c>
      <c r="AA34" s="68" t="str">
        <f>IF(AND('Mapa final'!$AB$64="Media",'Mapa final'!$AD$64="Moderado"),CONCATENATE("R9C",'Mapa final'!$R$64),"")</f>
        <v/>
      </c>
      <c r="AB34" s="51" t="str">
        <f>IF(AND('Mapa final'!$AB$59="Media",'Mapa final'!$AD$59="Mayor"),CONCATENATE("R9C",'Mapa final'!$R$59),"")</f>
        <v/>
      </c>
      <c r="AC34" s="52" t="str">
        <f>IF(AND('Mapa final'!$AB$60="Media",'Mapa final'!$AD$60="Mayor"),CONCATENATE("R9C",'Mapa final'!$R$60),"")</f>
        <v/>
      </c>
      <c r="AD34" s="52" t="str">
        <f>IF(AND('Mapa final'!$AB$61="Media",'Mapa final'!$AD$61="Mayor"),CONCATENATE("R9C",'Mapa final'!$R$61),"")</f>
        <v/>
      </c>
      <c r="AE34" s="52" t="str">
        <f>IF(AND('Mapa final'!$AB$62="Media",'Mapa final'!$AD$62="Mayor"),CONCATENATE("R9C",'Mapa final'!$R$62),"")</f>
        <v/>
      </c>
      <c r="AF34" s="52" t="str">
        <f>IF(AND('Mapa final'!$AB$63="Media",'Mapa final'!$AD$63="Mayor"),CONCATENATE("R9C",'Mapa final'!$R$63),"")</f>
        <v/>
      </c>
      <c r="AG34" s="53" t="str">
        <f>IF(AND('Mapa final'!$AB$64="Media",'Mapa final'!$AD$64="Mayor"),CONCATENATE("R9C",'Mapa final'!$R$64),"")</f>
        <v/>
      </c>
      <c r="AH34" s="54" t="str">
        <f>IF(AND('Mapa final'!$AB$59="Media",'Mapa final'!$AD$59="Catastrófico"),CONCATENATE("R9C",'Mapa final'!$R$59),"")</f>
        <v/>
      </c>
      <c r="AI34" s="55" t="str">
        <f>IF(AND('Mapa final'!$AB$60="Media",'Mapa final'!$AD$60="Catastrófico"),CONCATENATE("R9C",'Mapa final'!$R$60),"")</f>
        <v/>
      </c>
      <c r="AJ34" s="55" t="str">
        <f>IF(AND('Mapa final'!$AB$61="Media",'Mapa final'!$AD$61="Catastrófico"),CONCATENATE("R9C",'Mapa final'!$R$61),"")</f>
        <v/>
      </c>
      <c r="AK34" s="55" t="str">
        <f>IF(AND('Mapa final'!$AB$62="Media",'Mapa final'!$AD$62="Catastrófico"),CONCATENATE("R9C",'Mapa final'!$R$62),"")</f>
        <v/>
      </c>
      <c r="AL34" s="55" t="str">
        <f>IF(AND('Mapa final'!$AB$63="Media",'Mapa final'!$AD$63="Catastrófico"),CONCATENATE("R9C",'Mapa final'!$R$63),"")</f>
        <v/>
      </c>
      <c r="AM34" s="56" t="str">
        <f>IF(AND('Mapa final'!$AB$64="Media",'Mapa final'!$AD$64="Catastrófico"),CONCATENATE("R9C",'Mapa final'!$R$64),"")</f>
        <v/>
      </c>
      <c r="AN34" s="82"/>
      <c r="AO34" s="410"/>
      <c r="AP34" s="411"/>
      <c r="AQ34" s="411"/>
      <c r="AR34" s="411"/>
      <c r="AS34" s="411"/>
      <c r="AT34" s="41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282"/>
      <c r="C35" s="282"/>
      <c r="D35" s="283"/>
      <c r="E35" s="382"/>
      <c r="F35" s="383"/>
      <c r="G35" s="383"/>
      <c r="H35" s="383"/>
      <c r="I35" s="397"/>
      <c r="J35" s="66" t="str">
        <f>IF(AND('Mapa final'!$AB$65="Media",'Mapa final'!$AD$65="Leve"),CONCATENATE("R10C",'Mapa final'!$R$65),"")</f>
        <v/>
      </c>
      <c r="K35" s="67" t="str">
        <f>IF(AND('Mapa final'!$AB$66="Media",'Mapa final'!$AD$66="Leve"),CONCATENATE("R10C",'Mapa final'!$R$66),"")</f>
        <v/>
      </c>
      <c r="L35" s="67" t="str">
        <f>IF(AND('Mapa final'!$AB$67="Media",'Mapa final'!$AD$67="Leve"),CONCATENATE("R10C",'Mapa final'!$R$67),"")</f>
        <v/>
      </c>
      <c r="M35" s="67" t="str">
        <f>IF(AND('Mapa final'!$AB$68="Media",'Mapa final'!$AD$68="Leve"),CONCATENATE("R10C",'Mapa final'!$R$68),"")</f>
        <v/>
      </c>
      <c r="N35" s="67" t="str">
        <f>IF(AND('Mapa final'!$AB$69="Media",'Mapa final'!$AD$69="Leve"),CONCATENATE("R10C",'Mapa final'!$R$69),"")</f>
        <v/>
      </c>
      <c r="O35" s="68" t="str">
        <f>IF(AND('Mapa final'!$AB$70="Media",'Mapa final'!$AD$70="Leve"),CONCATENATE("R10C",'Mapa final'!$R$70),"")</f>
        <v/>
      </c>
      <c r="P35" s="66" t="str">
        <f>IF(AND('Mapa final'!$AB$65="Media",'Mapa final'!$AD$65="Menor"),CONCATENATE("R10C",'Mapa final'!$R$65),"")</f>
        <v/>
      </c>
      <c r="Q35" s="67" t="str">
        <f>IF(AND('Mapa final'!$AB$66="Media",'Mapa final'!$AD$66="Menor"),CONCATENATE("R10C",'Mapa final'!$R$66),"")</f>
        <v/>
      </c>
      <c r="R35" s="67" t="str">
        <f>IF(AND('Mapa final'!$AB$67="Media",'Mapa final'!$AD$67="Menor"),CONCATENATE("R10C",'Mapa final'!$R$67),"")</f>
        <v/>
      </c>
      <c r="S35" s="67" t="str">
        <f>IF(AND('Mapa final'!$AB$68="Media",'Mapa final'!$AD$68="Menor"),CONCATENATE("R10C",'Mapa final'!$R$68),"")</f>
        <v/>
      </c>
      <c r="T35" s="67" t="str">
        <f>IF(AND('Mapa final'!$AB$69="Media",'Mapa final'!$AD$69="Menor"),CONCATENATE("R10C",'Mapa final'!$R$69),"")</f>
        <v/>
      </c>
      <c r="U35" s="68" t="str">
        <f>IF(AND('Mapa final'!$AB$70="Media",'Mapa final'!$AD$70="Menor"),CONCATENATE("R10C",'Mapa final'!$R$70),"")</f>
        <v/>
      </c>
      <c r="V35" s="66" t="str">
        <f>IF(AND('Mapa final'!$AB$65="Media",'Mapa final'!$AD$65="Moderado"),CONCATENATE("R10C",'Mapa final'!$R$65),"")</f>
        <v/>
      </c>
      <c r="W35" s="67" t="str">
        <f>IF(AND('Mapa final'!$AB$66="Media",'Mapa final'!$AD$66="Moderado"),CONCATENATE("R10C",'Mapa final'!$R$66),"")</f>
        <v/>
      </c>
      <c r="X35" s="67" t="str">
        <f>IF(AND('Mapa final'!$AB$67="Media",'Mapa final'!$AD$67="Moderado"),CONCATENATE("R10C",'Mapa final'!$R$67),"")</f>
        <v/>
      </c>
      <c r="Y35" s="67" t="str">
        <f>IF(AND('Mapa final'!$AB$68="Media",'Mapa final'!$AD$68="Moderado"),CONCATENATE("R10C",'Mapa final'!$R$68),"")</f>
        <v/>
      </c>
      <c r="Z35" s="67" t="str">
        <f>IF(AND('Mapa final'!$AB$69="Media",'Mapa final'!$AD$69="Moderado"),CONCATENATE("R10C",'Mapa final'!$R$69),"")</f>
        <v/>
      </c>
      <c r="AA35" s="68" t="str">
        <f>IF(AND('Mapa final'!$AB$70="Media",'Mapa final'!$AD$70="Moderado"),CONCATENATE("R10C",'Mapa final'!$R$70),"")</f>
        <v/>
      </c>
      <c r="AB35" s="57" t="str">
        <f>IF(AND('Mapa final'!$AB$65="Media",'Mapa final'!$AD$65="Mayor"),CONCATENATE("R10C",'Mapa final'!$R$65),"")</f>
        <v/>
      </c>
      <c r="AC35" s="58" t="str">
        <f>IF(AND('Mapa final'!$AB$66="Media",'Mapa final'!$AD$66="Mayor"),CONCATENATE("R10C",'Mapa final'!$R$66),"")</f>
        <v/>
      </c>
      <c r="AD35" s="58" t="str">
        <f>IF(AND('Mapa final'!$AB$67="Media",'Mapa final'!$AD$67="Mayor"),CONCATENATE("R10C",'Mapa final'!$R$67),"")</f>
        <v/>
      </c>
      <c r="AE35" s="58" t="str">
        <f>IF(AND('Mapa final'!$AB$68="Media",'Mapa final'!$AD$68="Mayor"),CONCATENATE("R10C",'Mapa final'!$R$68),"")</f>
        <v/>
      </c>
      <c r="AF35" s="58" t="str">
        <f>IF(AND('Mapa final'!$AB$69="Media",'Mapa final'!$AD$69="Mayor"),CONCATENATE("R10C",'Mapa final'!$R$69),"")</f>
        <v/>
      </c>
      <c r="AG35" s="59" t="str">
        <f>IF(AND('Mapa final'!$AB$70="Media",'Mapa final'!$AD$70="Mayor"),CONCATENATE("R10C",'Mapa final'!$R$70),"")</f>
        <v/>
      </c>
      <c r="AH35" s="60" t="str">
        <f>IF(AND('Mapa final'!$AB$65="Media",'Mapa final'!$AD$65="Catastrófico"),CONCATENATE("R10C",'Mapa final'!$R$65),"")</f>
        <v/>
      </c>
      <c r="AI35" s="61" t="str">
        <f>IF(AND('Mapa final'!$AB$66="Media",'Mapa final'!$AD$66="Catastrófico"),CONCATENATE("R10C",'Mapa final'!$R$66),"")</f>
        <v/>
      </c>
      <c r="AJ35" s="61" t="str">
        <f>IF(AND('Mapa final'!$AB$67="Media",'Mapa final'!$AD$67="Catastrófico"),CONCATENATE("R10C",'Mapa final'!$R$67),"")</f>
        <v/>
      </c>
      <c r="AK35" s="61" t="str">
        <f>IF(AND('Mapa final'!$AB$68="Media",'Mapa final'!$AD$68="Catastrófico"),CONCATENATE("R10C",'Mapa final'!$R$68),"")</f>
        <v/>
      </c>
      <c r="AL35" s="61" t="str">
        <f>IF(AND('Mapa final'!$AB$69="Media",'Mapa final'!$AD$69="Catastrófico"),CONCATENATE("R10C",'Mapa final'!$R$69),"")</f>
        <v/>
      </c>
      <c r="AM35" s="62" t="str">
        <f>IF(AND('Mapa final'!$AB$70="Media",'Mapa final'!$AD$70="Catastrófico"),CONCATENATE("R10C",'Mapa final'!$R$70),"")</f>
        <v/>
      </c>
      <c r="AN35" s="82"/>
      <c r="AO35" s="413"/>
      <c r="AP35" s="414"/>
      <c r="AQ35" s="414"/>
      <c r="AR35" s="414"/>
      <c r="AS35" s="414"/>
      <c r="AT35" s="415"/>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282"/>
      <c r="C36" s="282"/>
      <c r="D36" s="283"/>
      <c r="E36" s="377" t="s">
        <v>106</v>
      </c>
      <c r="F36" s="378"/>
      <c r="G36" s="378"/>
      <c r="H36" s="378"/>
      <c r="I36" s="378"/>
      <c r="J36" s="72" t="str">
        <f>IF(AND('Mapa final'!$AB$11="Baja",'Mapa final'!$AD$11="Leve"),CONCATENATE("R1C",'Mapa final'!$R$11),"")</f>
        <v/>
      </c>
      <c r="K36" s="73" t="str">
        <f>IF(AND('Mapa final'!$AB$12="Baja",'Mapa final'!$AD$12="Leve"),CONCATENATE("R1C",'Mapa final'!$R$12),"")</f>
        <v/>
      </c>
      <c r="L36" s="73" t="str">
        <f>IF(AND('Mapa final'!$AB$13="Baja",'Mapa final'!$AD$13="Leve"),CONCATENATE("R1C",'Mapa final'!$R$13),"")</f>
        <v/>
      </c>
      <c r="M36" s="73" t="str">
        <f>IF(AND('Mapa final'!$AB$14="Baja",'Mapa final'!$AD$14="Leve"),CONCATENATE("R1C",'Mapa final'!$R$14),"")</f>
        <v/>
      </c>
      <c r="N36" s="73" t="str">
        <f>IF(AND('Mapa final'!$AB$15="Baja",'Mapa final'!$AD$15="Leve"),CONCATENATE("R1C",'Mapa final'!$R$15),"")</f>
        <v/>
      </c>
      <c r="O36" s="74" t="str">
        <f>IF(AND('Mapa final'!$AB$16="Baja",'Mapa final'!$AD$16="Leve"),CONCATENATE("R1C",'Mapa final'!$R$16),"")</f>
        <v/>
      </c>
      <c r="P36" s="63" t="str">
        <f>IF(AND('Mapa final'!$AB$11="Baja",'Mapa final'!$AD$11="Menor"),CONCATENATE("R1C",'Mapa final'!$R$11),"")</f>
        <v>R1C1</v>
      </c>
      <c r="Q36" s="64" t="str">
        <f>IF(AND('Mapa final'!$AB$12="Baja",'Mapa final'!$AD$12="Menor"),CONCATENATE("R1C",'Mapa final'!$R$12),"")</f>
        <v/>
      </c>
      <c r="R36" s="64" t="str">
        <f>IF(AND('Mapa final'!$AB$13="Baja",'Mapa final'!$AD$13="Menor"),CONCATENATE("R1C",'Mapa final'!$R$13),"")</f>
        <v/>
      </c>
      <c r="S36" s="64" t="str">
        <f>IF(AND('Mapa final'!$AB$14="Baja",'Mapa final'!$AD$14="Menor"),CONCATENATE("R1C",'Mapa final'!$R$14),"")</f>
        <v/>
      </c>
      <c r="T36" s="64" t="str">
        <f>IF(AND('Mapa final'!$AB$15="Baja",'Mapa final'!$AD$15="Menor"),CONCATENATE("R1C",'Mapa final'!$R$15),"")</f>
        <v/>
      </c>
      <c r="U36" s="65" t="str">
        <f>IF(AND('Mapa final'!$AB$16="Baja",'Mapa final'!$AD$16="Menor"),CONCATENATE("R1C",'Mapa final'!$R$16),"")</f>
        <v/>
      </c>
      <c r="V36" s="63" t="str">
        <f>IF(AND('Mapa final'!$AB$11="Baja",'Mapa final'!$AD$11="Moderado"),CONCATENATE("R1C",'Mapa final'!$R$11),"")</f>
        <v/>
      </c>
      <c r="W36" s="64" t="str">
        <f>IF(AND('Mapa final'!$AB$12="Baja",'Mapa final'!$AD$12="Moderado"),CONCATENATE("R1C",'Mapa final'!$R$12),"")</f>
        <v/>
      </c>
      <c r="X36" s="64" t="str">
        <f>IF(AND('Mapa final'!$AB$13="Baja",'Mapa final'!$AD$13="Moderado"),CONCATENATE("R1C",'Mapa final'!$R$13),"")</f>
        <v/>
      </c>
      <c r="Y36" s="64" t="str">
        <f>IF(AND('Mapa final'!$AB$14="Baja",'Mapa final'!$AD$14="Moderado"),CONCATENATE("R1C",'Mapa final'!$R$14),"")</f>
        <v/>
      </c>
      <c r="Z36" s="64" t="str">
        <f>IF(AND('Mapa final'!$AB$15="Baja",'Mapa final'!$AD$15="Moderado"),CONCATENATE("R1C",'Mapa final'!$R$15),"")</f>
        <v/>
      </c>
      <c r="AA36" s="65" t="str">
        <f>IF(AND('Mapa final'!$AB$16="Baja",'Mapa final'!$AD$16="Moderado"),CONCATENATE("R1C",'Mapa final'!$R$16),"")</f>
        <v/>
      </c>
      <c r="AB36" s="45" t="str">
        <f>IF(AND('Mapa final'!$AB$11="Baja",'Mapa final'!$AD$11="Mayor"),CONCATENATE("R1C",'Mapa final'!$R$11),"")</f>
        <v/>
      </c>
      <c r="AC36" s="46" t="str">
        <f>IF(AND('Mapa final'!$AB$12="Baja",'Mapa final'!$AD$12="Mayor"),CONCATENATE("R1C",'Mapa final'!$R$12),"")</f>
        <v/>
      </c>
      <c r="AD36" s="46" t="str">
        <f>IF(AND('Mapa final'!$AB$13="Baja",'Mapa final'!$AD$13="Mayor"),CONCATENATE("R1C",'Mapa final'!$R$13),"")</f>
        <v/>
      </c>
      <c r="AE36" s="46" t="str">
        <f>IF(AND('Mapa final'!$AB$14="Baja",'Mapa final'!$AD$14="Mayor"),CONCATENATE("R1C",'Mapa final'!$R$14),"")</f>
        <v/>
      </c>
      <c r="AF36" s="46" t="str">
        <f>IF(AND('Mapa final'!$AB$15="Baja",'Mapa final'!$AD$15="Mayor"),CONCATENATE("R1C",'Mapa final'!$R$15),"")</f>
        <v/>
      </c>
      <c r="AG36" s="47" t="str">
        <f>IF(AND('Mapa final'!$AB$16="Baja",'Mapa final'!$AD$16="Mayor"),CONCATENATE("R1C",'Mapa final'!$R$16),"")</f>
        <v/>
      </c>
      <c r="AH36" s="48" t="str">
        <f>IF(AND('Mapa final'!$AB$11="Baja",'Mapa final'!$AD$11="Catastrófico"),CONCATENATE("R1C",'Mapa final'!$R$11),"")</f>
        <v/>
      </c>
      <c r="AI36" s="49" t="str">
        <f>IF(AND('Mapa final'!$AB$12="Baja",'Mapa final'!$AD$12="Catastrófico"),CONCATENATE("R1C",'Mapa final'!$R$12),"")</f>
        <v/>
      </c>
      <c r="AJ36" s="49" t="str">
        <f>IF(AND('Mapa final'!$AB$13="Baja",'Mapa final'!$AD$13="Catastrófico"),CONCATENATE("R1C",'Mapa final'!$R$13),"")</f>
        <v/>
      </c>
      <c r="AK36" s="49" t="str">
        <f>IF(AND('Mapa final'!$AB$14="Baja",'Mapa final'!$AD$14="Catastrófico"),CONCATENATE("R1C",'Mapa final'!$R$14),"")</f>
        <v/>
      </c>
      <c r="AL36" s="49" t="str">
        <f>IF(AND('Mapa final'!$AB$15="Baja",'Mapa final'!$AD$15="Catastrófico"),CONCATENATE("R1C",'Mapa final'!$R$15),"")</f>
        <v/>
      </c>
      <c r="AM36" s="50" t="str">
        <f>IF(AND('Mapa final'!$AB$16="Baja",'Mapa final'!$AD$16="Catastrófico"),CONCATENATE("R1C",'Mapa final'!$R$16),"")</f>
        <v/>
      </c>
      <c r="AN36" s="82"/>
      <c r="AO36" s="398" t="s">
        <v>79</v>
      </c>
      <c r="AP36" s="399"/>
      <c r="AQ36" s="399"/>
      <c r="AR36" s="399"/>
      <c r="AS36" s="399"/>
      <c r="AT36" s="40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282"/>
      <c r="C37" s="282"/>
      <c r="D37" s="283"/>
      <c r="E37" s="379"/>
      <c r="F37" s="380"/>
      <c r="G37" s="380"/>
      <c r="H37" s="380"/>
      <c r="I37" s="380"/>
      <c r="J37" s="75" t="str">
        <f>IF(AND('Mapa final'!$AB$17="Baja",'Mapa final'!$AD$17="Leve"),CONCATENATE("R2C",'Mapa final'!$R$17),"")</f>
        <v/>
      </c>
      <c r="K37" s="76" t="str">
        <f>IF(AND('Mapa final'!$AB$18="Baja",'Mapa final'!$AD$18="Leve"),CONCATENATE("R2C",'Mapa final'!$R$18),"")</f>
        <v/>
      </c>
      <c r="L37" s="76" t="str">
        <f>IF(AND('Mapa final'!$AB$19="Baja",'Mapa final'!$AD$19="Leve"),CONCATENATE("R2C",'Mapa final'!$R$19),"")</f>
        <v/>
      </c>
      <c r="M37" s="76" t="str">
        <f>IF(AND('Mapa final'!$AB$20="Baja",'Mapa final'!$AD$20="Leve"),CONCATENATE("R2C",'Mapa final'!$R$20),"")</f>
        <v/>
      </c>
      <c r="N37" s="76" t="str">
        <f>IF(AND('Mapa final'!$AB$21="Baja",'Mapa final'!$AD$21="Leve"),CONCATENATE("R2C",'Mapa final'!$R$21),"")</f>
        <v/>
      </c>
      <c r="O37" s="77" t="str">
        <f>IF(AND('Mapa final'!$AB$22="Baja",'Mapa final'!$AD$22="Leve"),CONCATENATE("R2C",'Mapa final'!$R$22),"")</f>
        <v/>
      </c>
      <c r="P37" s="66" t="str">
        <f>IF(AND('Mapa final'!$AB$17="Baja",'Mapa final'!$AD$17="Menor"),CONCATENATE("R2C",'Mapa final'!$R$17),"")</f>
        <v>R2C1</v>
      </c>
      <c r="Q37" s="67" t="str">
        <f>IF(AND('Mapa final'!$AB$18="Baja",'Mapa final'!$AD$18="Menor"),CONCATENATE("R2C",'Mapa final'!$R$18),"")</f>
        <v>R2C2</v>
      </c>
      <c r="R37" s="67" t="str">
        <f>IF(AND('Mapa final'!$AB$19="Baja",'Mapa final'!$AD$19="Menor"),CONCATENATE("R2C",'Mapa final'!$R$19),"")</f>
        <v/>
      </c>
      <c r="S37" s="67" t="str">
        <f>IF(AND('Mapa final'!$AB$20="Baja",'Mapa final'!$AD$20="Menor"),CONCATENATE("R2C",'Mapa final'!$R$20),"")</f>
        <v/>
      </c>
      <c r="T37" s="67" t="str">
        <f>IF(AND('Mapa final'!$AB$21="Baja",'Mapa final'!$AD$21="Menor"),CONCATENATE("R2C",'Mapa final'!$R$21),"")</f>
        <v/>
      </c>
      <c r="U37" s="68" t="str">
        <f>IF(AND('Mapa final'!$AB$22="Baja",'Mapa final'!$AD$22="Menor"),CONCATENATE("R2C",'Mapa final'!$R$22),"")</f>
        <v/>
      </c>
      <c r="V37" s="66" t="str">
        <f>IF(AND('Mapa final'!$AB$17="Baja",'Mapa final'!$AD$17="Moderado"),CONCATENATE("R2C",'Mapa final'!$R$17),"")</f>
        <v/>
      </c>
      <c r="W37" s="67" t="str">
        <f>IF(AND('Mapa final'!$AB$18="Baja",'Mapa final'!$AD$18="Moderado"),CONCATENATE("R2C",'Mapa final'!$R$18),"")</f>
        <v/>
      </c>
      <c r="X37" s="67" t="str">
        <f>IF(AND('Mapa final'!$AB$19="Baja",'Mapa final'!$AD$19="Moderado"),CONCATENATE("R2C",'Mapa final'!$R$19),"")</f>
        <v/>
      </c>
      <c r="Y37" s="67" t="str">
        <f>IF(AND('Mapa final'!$AB$20="Baja",'Mapa final'!$AD$20="Moderado"),CONCATENATE("R2C",'Mapa final'!$R$20),"")</f>
        <v/>
      </c>
      <c r="Z37" s="67" t="str">
        <f>IF(AND('Mapa final'!$AB$21="Baja",'Mapa final'!$AD$21="Moderado"),CONCATENATE("R2C",'Mapa final'!$R$21),"")</f>
        <v/>
      </c>
      <c r="AA37" s="68" t="str">
        <f>IF(AND('Mapa final'!$AB$22="Baja",'Mapa final'!$AD$22="Moderado"),CONCATENATE("R2C",'Mapa final'!$R$22),"")</f>
        <v/>
      </c>
      <c r="AB37" s="51" t="str">
        <f>IF(AND('Mapa final'!$AB$17="Baja",'Mapa final'!$AD$17="Mayor"),CONCATENATE("R2C",'Mapa final'!$R$17),"")</f>
        <v/>
      </c>
      <c r="AC37" s="52" t="str">
        <f>IF(AND('Mapa final'!$AB$18="Baja",'Mapa final'!$AD$18="Mayor"),CONCATENATE("R2C",'Mapa final'!$R$18),"")</f>
        <v/>
      </c>
      <c r="AD37" s="52" t="str">
        <f>IF(AND('Mapa final'!$AB$19="Baja",'Mapa final'!$AD$19="Mayor"),CONCATENATE("R2C",'Mapa final'!$R$19),"")</f>
        <v/>
      </c>
      <c r="AE37" s="52" t="str">
        <f>IF(AND('Mapa final'!$AB$20="Baja",'Mapa final'!$AD$20="Mayor"),CONCATENATE("R2C",'Mapa final'!$R$20),"")</f>
        <v/>
      </c>
      <c r="AF37" s="52" t="str">
        <f>IF(AND('Mapa final'!$AB$21="Baja",'Mapa final'!$AD$21="Mayor"),CONCATENATE("R2C",'Mapa final'!$R$21),"")</f>
        <v/>
      </c>
      <c r="AG37" s="53" t="str">
        <f>IF(AND('Mapa final'!$AB$22="Baja",'Mapa final'!$AD$22="Mayor"),CONCATENATE("R2C",'Mapa final'!$R$22),"")</f>
        <v/>
      </c>
      <c r="AH37" s="54" t="str">
        <f>IF(AND('Mapa final'!$AB$17="Baja",'Mapa final'!$AD$17="Catastrófico"),CONCATENATE("R2C",'Mapa final'!$R$17),"")</f>
        <v/>
      </c>
      <c r="AI37" s="55" t="str">
        <f>IF(AND('Mapa final'!$AB$18="Baja",'Mapa final'!$AD$18="Catastrófico"),CONCATENATE("R2C",'Mapa final'!$R$18),"")</f>
        <v/>
      </c>
      <c r="AJ37" s="55" t="str">
        <f>IF(AND('Mapa final'!$AB$19="Baja",'Mapa final'!$AD$19="Catastrófico"),CONCATENATE("R2C",'Mapa final'!$R$19),"")</f>
        <v/>
      </c>
      <c r="AK37" s="55" t="str">
        <f>IF(AND('Mapa final'!$AB$20="Baja",'Mapa final'!$AD$20="Catastrófico"),CONCATENATE("R2C",'Mapa final'!$R$20),"")</f>
        <v/>
      </c>
      <c r="AL37" s="55" t="str">
        <f>IF(AND('Mapa final'!$AB$21="Baja",'Mapa final'!$AD$21="Catastrófico"),CONCATENATE("R2C",'Mapa final'!$R$21),"")</f>
        <v/>
      </c>
      <c r="AM37" s="56" t="str">
        <f>IF(AND('Mapa final'!$AB$22="Baja",'Mapa final'!$AD$22="Catastrófico"),CONCATENATE("R2C",'Mapa final'!$R$22),"")</f>
        <v/>
      </c>
      <c r="AN37" s="82"/>
      <c r="AO37" s="401"/>
      <c r="AP37" s="402"/>
      <c r="AQ37" s="402"/>
      <c r="AR37" s="402"/>
      <c r="AS37" s="402"/>
      <c r="AT37" s="403"/>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282"/>
      <c r="C38" s="282"/>
      <c r="D38" s="283"/>
      <c r="E38" s="381"/>
      <c r="F38" s="380"/>
      <c r="G38" s="380"/>
      <c r="H38" s="380"/>
      <c r="I38" s="380"/>
      <c r="J38" s="75" t="str">
        <f>IF(AND('Mapa final'!$AB$23="Baja",'Mapa final'!$AD$23="Leve"),CONCATENATE("R3C",'Mapa final'!$R$23),"")</f>
        <v/>
      </c>
      <c r="K38" s="76" t="str">
        <f>IF(AND('Mapa final'!$AB$24="Baja",'Mapa final'!$AD$24="Leve"),CONCATENATE("R3C",'Mapa final'!$R$24),"")</f>
        <v/>
      </c>
      <c r="L38" s="76" t="str">
        <f>IF(AND('Mapa final'!$AB$25="Baja",'Mapa final'!$AD$25="Leve"),CONCATENATE("R3C",'Mapa final'!$R$25),"")</f>
        <v/>
      </c>
      <c r="M38" s="76" t="str">
        <f>IF(AND('Mapa final'!$AB$26="Baja",'Mapa final'!$AD$26="Leve"),CONCATENATE("R3C",'Mapa final'!$R$26),"")</f>
        <v/>
      </c>
      <c r="N38" s="76" t="str">
        <f>IF(AND('Mapa final'!$AB$27="Baja",'Mapa final'!$AD$27="Leve"),CONCATENATE("R3C",'Mapa final'!$R$27),"")</f>
        <v/>
      </c>
      <c r="O38" s="77" t="str">
        <f>IF(AND('Mapa final'!$AB$28="Baja",'Mapa final'!$AD$28="Leve"),CONCATENATE("R3C",'Mapa final'!$R$28),"")</f>
        <v/>
      </c>
      <c r="P38" s="66" t="str">
        <f>IF(AND('Mapa final'!$AB$23="Baja",'Mapa final'!$AD$23="Menor"),CONCATENATE("R3C",'Mapa final'!$R$23),"")</f>
        <v/>
      </c>
      <c r="Q38" s="67" t="str">
        <f>IF(AND('Mapa final'!$AB$24="Baja",'Mapa final'!$AD$24="Menor"),CONCATENATE("R3C",'Mapa final'!$R$24),"")</f>
        <v/>
      </c>
      <c r="R38" s="67" t="str">
        <f>IF(AND('Mapa final'!$AB$25="Baja",'Mapa final'!$AD$25="Menor"),CONCATENATE("R3C",'Mapa final'!$R$25),"")</f>
        <v/>
      </c>
      <c r="S38" s="67" t="str">
        <f>IF(AND('Mapa final'!$AB$26="Baja",'Mapa final'!$AD$26="Menor"),CONCATENATE("R3C",'Mapa final'!$R$26),"")</f>
        <v/>
      </c>
      <c r="T38" s="67" t="str">
        <f>IF(AND('Mapa final'!$AB$27="Baja",'Mapa final'!$AD$27="Menor"),CONCATENATE("R3C",'Mapa final'!$R$27),"")</f>
        <v/>
      </c>
      <c r="U38" s="68" t="str">
        <f>IF(AND('Mapa final'!$AB$28="Baja",'Mapa final'!$AD$28="Menor"),CONCATENATE("R3C",'Mapa final'!$R$28),"")</f>
        <v/>
      </c>
      <c r="V38" s="66" t="str">
        <f>IF(AND('Mapa final'!$AB$23="Baja",'Mapa final'!$AD$23="Moderado"),CONCATENATE("R3C",'Mapa final'!$R$23),"")</f>
        <v/>
      </c>
      <c r="W38" s="67" t="str">
        <f>IF(AND('Mapa final'!$AB$24="Baja",'Mapa final'!$AD$24="Moderado"),CONCATENATE("R3C",'Mapa final'!$R$24),"")</f>
        <v/>
      </c>
      <c r="X38" s="67" t="str">
        <f>IF(AND('Mapa final'!$AB$25="Baja",'Mapa final'!$AD$25="Moderado"),CONCATENATE("R3C",'Mapa final'!$R$25),"")</f>
        <v/>
      </c>
      <c r="Y38" s="67" t="str">
        <f>IF(AND('Mapa final'!$AB$26="Baja",'Mapa final'!$AD$26="Moderado"),CONCATENATE("R3C",'Mapa final'!$R$26),"")</f>
        <v/>
      </c>
      <c r="Z38" s="67" t="str">
        <f>IF(AND('Mapa final'!$AB$27="Baja",'Mapa final'!$AD$27="Moderado"),CONCATENATE("R3C",'Mapa final'!$R$27),"")</f>
        <v/>
      </c>
      <c r="AA38" s="68" t="str">
        <f>IF(AND('Mapa final'!$AB$28="Baja",'Mapa final'!$AD$28="Moderado"),CONCATENATE("R3C",'Mapa final'!$R$28),"")</f>
        <v/>
      </c>
      <c r="AB38" s="51" t="str">
        <f>IF(AND('Mapa final'!$AB$23="Baja",'Mapa final'!$AD$23="Mayor"),CONCATENATE("R3C",'Mapa final'!$R$23),"")</f>
        <v/>
      </c>
      <c r="AC38" s="52" t="str">
        <f>IF(AND('Mapa final'!$AB$24="Baja",'Mapa final'!$AD$24="Mayor"),CONCATENATE("R3C",'Mapa final'!$R$24),"")</f>
        <v/>
      </c>
      <c r="AD38" s="52" t="str">
        <f>IF(AND('Mapa final'!$AB$25="Baja",'Mapa final'!$AD$25="Mayor"),CONCATENATE("R3C",'Mapa final'!$R$25),"")</f>
        <v/>
      </c>
      <c r="AE38" s="52" t="str">
        <f>IF(AND('Mapa final'!$AB$26="Baja",'Mapa final'!$AD$26="Mayor"),CONCATENATE("R3C",'Mapa final'!$R$26),"")</f>
        <v/>
      </c>
      <c r="AF38" s="52" t="str">
        <f>IF(AND('Mapa final'!$AB$27="Baja",'Mapa final'!$AD$27="Mayor"),CONCATENATE("R3C",'Mapa final'!$R$27),"")</f>
        <v/>
      </c>
      <c r="AG38" s="53" t="str">
        <f>IF(AND('Mapa final'!$AB$28="Baja",'Mapa final'!$AD$28="Mayor"),CONCATENATE("R3C",'Mapa final'!$R$28),"")</f>
        <v/>
      </c>
      <c r="AH38" s="54" t="str">
        <f>IF(AND('Mapa final'!$AB$23="Baja",'Mapa final'!$AD$23="Catastrófico"),CONCATENATE("R3C",'Mapa final'!$R$23),"")</f>
        <v/>
      </c>
      <c r="AI38" s="55" t="str">
        <f>IF(AND('Mapa final'!$AB$24="Baja",'Mapa final'!$AD$24="Catastrófico"),CONCATENATE("R3C",'Mapa final'!$R$24),"")</f>
        <v/>
      </c>
      <c r="AJ38" s="55" t="str">
        <f>IF(AND('Mapa final'!$AB$25="Baja",'Mapa final'!$AD$25="Catastrófico"),CONCATENATE("R3C",'Mapa final'!$R$25),"")</f>
        <v/>
      </c>
      <c r="AK38" s="55" t="str">
        <f>IF(AND('Mapa final'!$AB$26="Baja",'Mapa final'!$AD$26="Catastrófico"),CONCATENATE("R3C",'Mapa final'!$R$26),"")</f>
        <v/>
      </c>
      <c r="AL38" s="55" t="str">
        <f>IF(AND('Mapa final'!$AB$27="Baja",'Mapa final'!$AD$27="Catastrófico"),CONCATENATE("R3C",'Mapa final'!$R$27),"")</f>
        <v/>
      </c>
      <c r="AM38" s="56" t="str">
        <f>IF(AND('Mapa final'!$AB$28="Baja",'Mapa final'!$AD$28="Catastrófico"),CONCATENATE("R3C",'Mapa final'!$R$28),"")</f>
        <v/>
      </c>
      <c r="AN38" s="82"/>
      <c r="AO38" s="401"/>
      <c r="AP38" s="402"/>
      <c r="AQ38" s="402"/>
      <c r="AR38" s="402"/>
      <c r="AS38" s="402"/>
      <c r="AT38" s="403"/>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282"/>
      <c r="C39" s="282"/>
      <c r="D39" s="283"/>
      <c r="E39" s="381"/>
      <c r="F39" s="380"/>
      <c r="G39" s="380"/>
      <c r="H39" s="380"/>
      <c r="I39" s="380"/>
      <c r="J39" s="75" t="str">
        <f>IF(AND('Mapa final'!$AB$29="Baja",'Mapa final'!$AD$29="Leve"),CONCATENATE("R4C",'Mapa final'!$R$29),"")</f>
        <v/>
      </c>
      <c r="K39" s="76" t="str">
        <f>IF(AND('Mapa final'!$AB$30="Baja",'Mapa final'!$AD$30="Leve"),CONCATENATE("R4C",'Mapa final'!$R$30),"")</f>
        <v/>
      </c>
      <c r="L39" s="76" t="str">
        <f>IF(AND('Mapa final'!$AB$31="Baja",'Mapa final'!$AD$31="Leve"),CONCATENATE("R4C",'Mapa final'!$R$31),"")</f>
        <v/>
      </c>
      <c r="M39" s="76" t="str">
        <f>IF(AND('Mapa final'!$AB$32="Baja",'Mapa final'!$AD$32="Leve"),CONCATENATE("R4C",'Mapa final'!$R$32),"")</f>
        <v/>
      </c>
      <c r="N39" s="76" t="str">
        <f>IF(AND('Mapa final'!$AB$33="Baja",'Mapa final'!$AD$33="Leve"),CONCATENATE("R4C",'Mapa final'!$R$33),"")</f>
        <v/>
      </c>
      <c r="O39" s="77" t="str">
        <f>IF(AND('Mapa final'!$AB$34="Baja",'Mapa final'!$AD$34="Leve"),CONCATENATE("R4C",'Mapa final'!$R$34),"")</f>
        <v/>
      </c>
      <c r="P39" s="66" t="str">
        <f>IF(AND('Mapa final'!$AB$29="Baja",'Mapa final'!$AD$29="Menor"),CONCATENATE("R4C",'Mapa final'!$R$29),"")</f>
        <v/>
      </c>
      <c r="Q39" s="67" t="str">
        <f>IF(AND('Mapa final'!$AB$30="Baja",'Mapa final'!$AD$30="Menor"),CONCATENATE("R4C",'Mapa final'!$R$30),"")</f>
        <v/>
      </c>
      <c r="R39" s="67" t="str">
        <f>IF(AND('Mapa final'!$AB$31="Baja",'Mapa final'!$AD$31="Menor"),CONCATENATE("R4C",'Mapa final'!$R$31),"")</f>
        <v/>
      </c>
      <c r="S39" s="67" t="str">
        <f>IF(AND('Mapa final'!$AB$32="Baja",'Mapa final'!$AD$32="Menor"),CONCATENATE("R4C",'Mapa final'!$R$32),"")</f>
        <v/>
      </c>
      <c r="T39" s="67" t="str">
        <f>IF(AND('Mapa final'!$AB$33="Baja",'Mapa final'!$AD$33="Menor"),CONCATENATE("R4C",'Mapa final'!$R$33),"")</f>
        <v/>
      </c>
      <c r="U39" s="68" t="str">
        <f>IF(AND('Mapa final'!$AB$34="Baja",'Mapa final'!$AD$34="Menor"),CONCATENATE("R4C",'Mapa final'!$R$34),"")</f>
        <v/>
      </c>
      <c r="V39" s="66" t="str">
        <f>IF(AND('Mapa final'!$AB$29="Baja",'Mapa final'!$AD$29="Moderado"),CONCATENATE("R4C",'Mapa final'!$R$29),"")</f>
        <v/>
      </c>
      <c r="W39" s="67" t="str">
        <f>IF(AND('Mapa final'!$AB$30="Baja",'Mapa final'!$AD$30="Moderado"),CONCATENATE("R4C",'Mapa final'!$R$30),"")</f>
        <v/>
      </c>
      <c r="X39" s="67" t="str">
        <f>IF(AND('Mapa final'!$AB$31="Baja",'Mapa final'!$AD$31="Moderado"),CONCATENATE("R4C",'Mapa final'!$R$31),"")</f>
        <v/>
      </c>
      <c r="Y39" s="67" t="str">
        <f>IF(AND('Mapa final'!$AB$32="Baja",'Mapa final'!$AD$32="Moderado"),CONCATENATE("R4C",'Mapa final'!$R$32),"")</f>
        <v/>
      </c>
      <c r="Z39" s="67" t="str">
        <f>IF(AND('Mapa final'!$AB$33="Baja",'Mapa final'!$AD$33="Moderado"),CONCATENATE("R4C",'Mapa final'!$R$33),"")</f>
        <v/>
      </c>
      <c r="AA39" s="68" t="str">
        <f>IF(AND('Mapa final'!$AB$34="Baja",'Mapa final'!$AD$34="Moderado"),CONCATENATE("R4C",'Mapa final'!$R$34),"")</f>
        <v/>
      </c>
      <c r="AB39" s="51" t="str">
        <f>IF(AND('Mapa final'!$AB$29="Baja",'Mapa final'!$AD$29="Mayor"),CONCATENATE("R4C",'Mapa final'!$R$29),"")</f>
        <v/>
      </c>
      <c r="AC39" s="52" t="str">
        <f>IF(AND('Mapa final'!$AB$30="Baja",'Mapa final'!$AD$30="Mayor"),CONCATENATE("R4C",'Mapa final'!$R$30),"")</f>
        <v/>
      </c>
      <c r="AD39" s="52" t="str">
        <f>IF(AND('Mapa final'!$AB$31="Baja",'Mapa final'!$AD$31="Mayor"),CONCATENATE("R4C",'Mapa final'!$R$31),"")</f>
        <v/>
      </c>
      <c r="AE39" s="52" t="str">
        <f>IF(AND('Mapa final'!$AB$32="Baja",'Mapa final'!$AD$32="Mayor"),CONCATENATE("R4C",'Mapa final'!$R$32),"")</f>
        <v/>
      </c>
      <c r="AF39" s="52" t="str">
        <f>IF(AND('Mapa final'!$AB$33="Baja",'Mapa final'!$AD$33="Mayor"),CONCATENATE("R4C",'Mapa final'!$R$33),"")</f>
        <v/>
      </c>
      <c r="AG39" s="53" t="str">
        <f>IF(AND('Mapa final'!$AB$34="Baja",'Mapa final'!$AD$34="Mayor"),CONCATENATE("R4C",'Mapa final'!$R$34),"")</f>
        <v/>
      </c>
      <c r="AH39" s="54" t="str">
        <f>IF(AND('Mapa final'!$AB$29="Baja",'Mapa final'!$AD$29="Catastrófico"),CONCATENATE("R4C",'Mapa final'!$R$29),"")</f>
        <v/>
      </c>
      <c r="AI39" s="55" t="str">
        <f>IF(AND('Mapa final'!$AB$30="Baja",'Mapa final'!$AD$30="Catastrófico"),CONCATENATE("R4C",'Mapa final'!$R$30),"")</f>
        <v/>
      </c>
      <c r="AJ39" s="55" t="str">
        <f>IF(AND('Mapa final'!$AB$31="Baja",'Mapa final'!$AD$31="Catastrófico"),CONCATENATE("R4C",'Mapa final'!$R$31),"")</f>
        <v/>
      </c>
      <c r="AK39" s="55" t="str">
        <f>IF(AND('Mapa final'!$AB$32="Baja",'Mapa final'!$AD$32="Catastrófico"),CONCATENATE("R4C",'Mapa final'!$R$32),"")</f>
        <v/>
      </c>
      <c r="AL39" s="55" t="str">
        <f>IF(AND('Mapa final'!$AB$33="Baja",'Mapa final'!$AD$33="Catastrófico"),CONCATENATE("R4C",'Mapa final'!$R$33),"")</f>
        <v/>
      </c>
      <c r="AM39" s="56" t="str">
        <f>IF(AND('Mapa final'!$AB$34="Baja",'Mapa final'!$AD$34="Catastrófico"),CONCATENATE("R4C",'Mapa final'!$R$34),"")</f>
        <v/>
      </c>
      <c r="AN39" s="82"/>
      <c r="AO39" s="401"/>
      <c r="AP39" s="402"/>
      <c r="AQ39" s="402"/>
      <c r="AR39" s="402"/>
      <c r="AS39" s="402"/>
      <c r="AT39" s="403"/>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282"/>
      <c r="C40" s="282"/>
      <c r="D40" s="283"/>
      <c r="E40" s="381"/>
      <c r="F40" s="380"/>
      <c r="G40" s="380"/>
      <c r="H40" s="380"/>
      <c r="I40" s="380"/>
      <c r="J40" s="75" t="str">
        <f>IF(AND('Mapa final'!$AB$35="Baja",'Mapa final'!$AD$35="Leve"),CONCATENATE("R5C",'Mapa final'!$R$35),"")</f>
        <v/>
      </c>
      <c r="K40" s="76" t="str">
        <f>IF(AND('Mapa final'!$AB$36="Baja",'Mapa final'!$AD$36="Leve"),CONCATENATE("R5C",'Mapa final'!$R$36),"")</f>
        <v/>
      </c>
      <c r="L40" s="76" t="str">
        <f>IF(AND('Mapa final'!$AB$37="Baja",'Mapa final'!$AD$37="Leve"),CONCATENATE("R5C",'Mapa final'!$R$37),"")</f>
        <v/>
      </c>
      <c r="M40" s="76" t="str">
        <f>IF(AND('Mapa final'!$AB$38="Baja",'Mapa final'!$AD$38="Leve"),CONCATENATE("R5C",'Mapa final'!$R$38),"")</f>
        <v/>
      </c>
      <c r="N40" s="76" t="str">
        <f>IF(AND('Mapa final'!$AB$39="Baja",'Mapa final'!$AD$39="Leve"),CONCATENATE("R5C",'Mapa final'!$R$39),"")</f>
        <v/>
      </c>
      <c r="O40" s="77" t="str">
        <f>IF(AND('Mapa final'!$AB$40="Baja",'Mapa final'!$AD$40="Leve"),CONCATENATE("R5C",'Mapa final'!$R$40),"")</f>
        <v/>
      </c>
      <c r="P40" s="66" t="str">
        <f>IF(AND('Mapa final'!$AB$35="Baja",'Mapa final'!$AD$35="Menor"),CONCATENATE("R5C",'Mapa final'!$R$35),"")</f>
        <v/>
      </c>
      <c r="Q40" s="67" t="str">
        <f>IF(AND('Mapa final'!$AB$36="Baja",'Mapa final'!$AD$36="Menor"),CONCATENATE("R5C",'Mapa final'!$R$36),"")</f>
        <v/>
      </c>
      <c r="R40" s="67" t="str">
        <f>IF(AND('Mapa final'!$AB$37="Baja",'Mapa final'!$AD$37="Menor"),CONCATENATE("R5C",'Mapa final'!$R$37),"")</f>
        <v/>
      </c>
      <c r="S40" s="67" t="str">
        <f>IF(AND('Mapa final'!$AB$38="Baja",'Mapa final'!$AD$38="Menor"),CONCATENATE("R5C",'Mapa final'!$R$38),"")</f>
        <v/>
      </c>
      <c r="T40" s="67" t="str">
        <f>IF(AND('Mapa final'!$AB$39="Baja",'Mapa final'!$AD$39="Menor"),CONCATENATE("R5C",'Mapa final'!$R$39),"")</f>
        <v/>
      </c>
      <c r="U40" s="68" t="str">
        <f>IF(AND('Mapa final'!$AB$40="Baja",'Mapa final'!$AD$40="Menor"),CONCATENATE("R5C",'Mapa final'!$R$40),"")</f>
        <v/>
      </c>
      <c r="V40" s="66" t="str">
        <f>IF(AND('Mapa final'!$AB$35="Baja",'Mapa final'!$AD$35="Moderado"),CONCATENATE("R5C",'Mapa final'!$R$35),"")</f>
        <v/>
      </c>
      <c r="W40" s="67" t="str">
        <f>IF(AND('Mapa final'!$AB$36="Baja",'Mapa final'!$AD$36="Moderado"),CONCATENATE("R5C",'Mapa final'!$R$36),"")</f>
        <v/>
      </c>
      <c r="X40" s="67" t="str">
        <f>IF(AND('Mapa final'!$AB$37="Baja",'Mapa final'!$AD$37="Moderado"),CONCATENATE("R5C",'Mapa final'!$R$37),"")</f>
        <v/>
      </c>
      <c r="Y40" s="67" t="str">
        <f>IF(AND('Mapa final'!$AB$38="Baja",'Mapa final'!$AD$38="Moderado"),CONCATENATE("R5C",'Mapa final'!$R$38),"")</f>
        <v/>
      </c>
      <c r="Z40" s="67" t="str">
        <f>IF(AND('Mapa final'!$AB$39="Baja",'Mapa final'!$AD$39="Moderado"),CONCATENATE("R5C",'Mapa final'!$R$39),"")</f>
        <v/>
      </c>
      <c r="AA40" s="68" t="str">
        <f>IF(AND('Mapa final'!$AB$40="Baja",'Mapa final'!$AD$40="Moderado"),CONCATENATE("R5C",'Mapa final'!$R$40),"")</f>
        <v/>
      </c>
      <c r="AB40" s="51" t="str">
        <f>IF(AND('Mapa final'!$AB$35="Baja",'Mapa final'!$AD$35="Mayor"),CONCATENATE("R5C",'Mapa final'!$R$35),"")</f>
        <v/>
      </c>
      <c r="AC40" s="52" t="str">
        <f>IF(AND('Mapa final'!$AB$36="Baja",'Mapa final'!$AD$36="Mayor"),CONCATENATE("R5C",'Mapa final'!$R$36),"")</f>
        <v/>
      </c>
      <c r="AD40" s="52" t="str">
        <f>IF(AND('Mapa final'!$AB$37="Baja",'Mapa final'!$AD$37="Mayor"),CONCATENATE("R5C",'Mapa final'!$R$37),"")</f>
        <v/>
      </c>
      <c r="AE40" s="52" t="str">
        <f>IF(AND('Mapa final'!$AB$38="Baja",'Mapa final'!$AD$38="Mayor"),CONCATENATE("R5C",'Mapa final'!$R$38),"")</f>
        <v/>
      </c>
      <c r="AF40" s="52" t="str">
        <f>IF(AND('Mapa final'!$AB$39="Baja",'Mapa final'!$AD$39="Mayor"),CONCATENATE("R5C",'Mapa final'!$R$39),"")</f>
        <v/>
      </c>
      <c r="AG40" s="53" t="str">
        <f>IF(AND('Mapa final'!$AB$40="Baja",'Mapa final'!$AD$40="Mayor"),CONCATENATE("R5C",'Mapa final'!$R$40),"")</f>
        <v/>
      </c>
      <c r="AH40" s="54" t="str">
        <f>IF(AND('Mapa final'!$AB$35="Baja",'Mapa final'!$AD$35="Catastrófico"),CONCATENATE("R5C",'Mapa final'!$R$35),"")</f>
        <v/>
      </c>
      <c r="AI40" s="55" t="str">
        <f>IF(AND('Mapa final'!$AB$36="Baja",'Mapa final'!$AD$36="Catastrófico"),CONCATENATE("R5C",'Mapa final'!$R$36),"")</f>
        <v/>
      </c>
      <c r="AJ40" s="55" t="str">
        <f>IF(AND('Mapa final'!$AB$37="Baja",'Mapa final'!$AD$37="Catastrófico"),CONCATENATE("R5C",'Mapa final'!$R$37),"")</f>
        <v/>
      </c>
      <c r="AK40" s="55" t="str">
        <f>IF(AND('Mapa final'!$AB$38="Baja",'Mapa final'!$AD$38="Catastrófico"),CONCATENATE("R5C",'Mapa final'!$R$38),"")</f>
        <v/>
      </c>
      <c r="AL40" s="55" t="str">
        <f>IF(AND('Mapa final'!$AB$39="Baja",'Mapa final'!$AD$39="Catastrófico"),CONCATENATE("R5C",'Mapa final'!$R$39),"")</f>
        <v/>
      </c>
      <c r="AM40" s="56" t="str">
        <f>IF(AND('Mapa final'!$AB$40="Baja",'Mapa final'!$AD$40="Catastrófico"),CONCATENATE("R5C",'Mapa final'!$R$40),"")</f>
        <v/>
      </c>
      <c r="AN40" s="82"/>
      <c r="AO40" s="401"/>
      <c r="AP40" s="402"/>
      <c r="AQ40" s="402"/>
      <c r="AR40" s="402"/>
      <c r="AS40" s="402"/>
      <c r="AT40" s="403"/>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282"/>
      <c r="C41" s="282"/>
      <c r="D41" s="283"/>
      <c r="E41" s="381"/>
      <c r="F41" s="380"/>
      <c r="G41" s="380"/>
      <c r="H41" s="380"/>
      <c r="I41" s="380"/>
      <c r="J41" s="75" t="str">
        <f>IF(AND('Mapa final'!$AB$41="Baja",'Mapa final'!$AD$41="Leve"),CONCATENATE("R6C",'Mapa final'!$R$41),"")</f>
        <v/>
      </c>
      <c r="K41" s="76" t="str">
        <f>IF(AND('Mapa final'!$AB$42="Baja",'Mapa final'!$AD$42="Leve"),CONCATENATE("R6C",'Mapa final'!$R$42),"")</f>
        <v/>
      </c>
      <c r="L41" s="76" t="str">
        <f>IF(AND('Mapa final'!$AB$43="Baja",'Mapa final'!$AD$43="Leve"),CONCATENATE("R6C",'Mapa final'!$R$43),"")</f>
        <v/>
      </c>
      <c r="M41" s="76" t="str">
        <f>IF(AND('Mapa final'!$AB$44="Baja",'Mapa final'!$AD$44="Leve"),CONCATENATE("R6C",'Mapa final'!$R$44),"")</f>
        <v/>
      </c>
      <c r="N41" s="76" t="str">
        <f>IF(AND('Mapa final'!$AB$45="Baja",'Mapa final'!$AD$45="Leve"),CONCATENATE("R6C",'Mapa final'!$R$45),"")</f>
        <v/>
      </c>
      <c r="O41" s="77" t="str">
        <f>IF(AND('Mapa final'!$AB$46="Baja",'Mapa final'!$AD$46="Leve"),CONCATENATE("R6C",'Mapa final'!$R$46),"")</f>
        <v/>
      </c>
      <c r="P41" s="66" t="str">
        <f>IF(AND('Mapa final'!$AB$41="Baja",'Mapa final'!$AD$41="Menor"),CONCATENATE("R6C",'Mapa final'!$R$41),"")</f>
        <v/>
      </c>
      <c r="Q41" s="67" t="str">
        <f>IF(AND('Mapa final'!$AB$42="Baja",'Mapa final'!$AD$42="Menor"),CONCATENATE("R6C",'Mapa final'!$R$42),"")</f>
        <v/>
      </c>
      <c r="R41" s="67" t="str">
        <f>IF(AND('Mapa final'!$AB$43="Baja",'Mapa final'!$AD$43="Menor"),CONCATENATE("R6C",'Mapa final'!$R$43),"")</f>
        <v/>
      </c>
      <c r="S41" s="67" t="str">
        <f>IF(AND('Mapa final'!$AB$44="Baja",'Mapa final'!$AD$44="Menor"),CONCATENATE("R6C",'Mapa final'!$R$44),"")</f>
        <v/>
      </c>
      <c r="T41" s="67" t="str">
        <f>IF(AND('Mapa final'!$AB$45="Baja",'Mapa final'!$AD$45="Menor"),CONCATENATE("R6C",'Mapa final'!$R$45),"")</f>
        <v/>
      </c>
      <c r="U41" s="68" t="str">
        <f>IF(AND('Mapa final'!$AB$46="Baja",'Mapa final'!$AD$46="Menor"),CONCATENATE("R6C",'Mapa final'!$R$46),"")</f>
        <v/>
      </c>
      <c r="V41" s="66" t="str">
        <f>IF(AND('Mapa final'!$AB$41="Baja",'Mapa final'!$AD$41="Moderado"),CONCATENATE("R6C",'Mapa final'!$R$41),"")</f>
        <v/>
      </c>
      <c r="W41" s="67" t="str">
        <f>IF(AND('Mapa final'!$AB$42="Baja",'Mapa final'!$AD$42="Moderado"),CONCATENATE("R6C",'Mapa final'!$R$42),"")</f>
        <v/>
      </c>
      <c r="X41" s="67" t="str">
        <f>IF(AND('Mapa final'!$AB$43="Baja",'Mapa final'!$AD$43="Moderado"),CONCATENATE("R6C",'Mapa final'!$R$43),"")</f>
        <v/>
      </c>
      <c r="Y41" s="67" t="str">
        <f>IF(AND('Mapa final'!$AB$44="Baja",'Mapa final'!$AD$44="Moderado"),CONCATENATE("R6C",'Mapa final'!$R$44),"")</f>
        <v/>
      </c>
      <c r="Z41" s="67" t="str">
        <f>IF(AND('Mapa final'!$AB$45="Baja",'Mapa final'!$AD$45="Moderado"),CONCATENATE("R6C",'Mapa final'!$R$45),"")</f>
        <v/>
      </c>
      <c r="AA41" s="68" t="str">
        <f>IF(AND('Mapa final'!$AB$46="Baja",'Mapa final'!$AD$46="Moderado"),CONCATENATE("R6C",'Mapa final'!$R$46),"")</f>
        <v/>
      </c>
      <c r="AB41" s="51" t="str">
        <f>IF(AND('Mapa final'!$AB$41="Baja",'Mapa final'!$AD$41="Mayor"),CONCATENATE("R6C",'Mapa final'!$R$41),"")</f>
        <v/>
      </c>
      <c r="AC41" s="52" t="str">
        <f>IF(AND('Mapa final'!$AB$42="Baja",'Mapa final'!$AD$42="Mayor"),CONCATENATE("R6C",'Mapa final'!$R$42),"")</f>
        <v/>
      </c>
      <c r="AD41" s="52" t="str">
        <f>IF(AND('Mapa final'!$AB$43="Baja",'Mapa final'!$AD$43="Mayor"),CONCATENATE("R6C",'Mapa final'!$R$43),"")</f>
        <v/>
      </c>
      <c r="AE41" s="52" t="str">
        <f>IF(AND('Mapa final'!$AB$44="Baja",'Mapa final'!$AD$44="Mayor"),CONCATENATE("R6C",'Mapa final'!$R$44),"")</f>
        <v/>
      </c>
      <c r="AF41" s="52" t="str">
        <f>IF(AND('Mapa final'!$AB$45="Baja",'Mapa final'!$AD$45="Mayor"),CONCATENATE("R6C",'Mapa final'!$R$45),"")</f>
        <v/>
      </c>
      <c r="AG41" s="53" t="str">
        <f>IF(AND('Mapa final'!$AB$46="Baja",'Mapa final'!$AD$46="Mayor"),CONCATENATE("R6C",'Mapa final'!$R$46),"")</f>
        <v/>
      </c>
      <c r="AH41" s="54" t="str">
        <f>IF(AND('Mapa final'!$AB$41="Baja",'Mapa final'!$AD$41="Catastrófico"),CONCATENATE("R6C",'Mapa final'!$R$41),"")</f>
        <v/>
      </c>
      <c r="AI41" s="55" t="str">
        <f>IF(AND('Mapa final'!$AB$42="Baja",'Mapa final'!$AD$42="Catastrófico"),CONCATENATE("R6C",'Mapa final'!$R$42),"")</f>
        <v/>
      </c>
      <c r="AJ41" s="55" t="str">
        <f>IF(AND('Mapa final'!$AB$43="Baja",'Mapa final'!$AD$43="Catastrófico"),CONCATENATE("R6C",'Mapa final'!$R$43),"")</f>
        <v/>
      </c>
      <c r="AK41" s="55" t="str">
        <f>IF(AND('Mapa final'!$AB$44="Baja",'Mapa final'!$AD$44="Catastrófico"),CONCATENATE("R6C",'Mapa final'!$R$44),"")</f>
        <v/>
      </c>
      <c r="AL41" s="55" t="str">
        <f>IF(AND('Mapa final'!$AB$45="Baja",'Mapa final'!$AD$45="Catastrófico"),CONCATENATE("R6C",'Mapa final'!$R$45),"")</f>
        <v/>
      </c>
      <c r="AM41" s="56" t="str">
        <f>IF(AND('Mapa final'!$AB$46="Baja",'Mapa final'!$AD$46="Catastrófico"),CONCATENATE("R6C",'Mapa final'!$R$46),"")</f>
        <v/>
      </c>
      <c r="AN41" s="82"/>
      <c r="AO41" s="401"/>
      <c r="AP41" s="402"/>
      <c r="AQ41" s="402"/>
      <c r="AR41" s="402"/>
      <c r="AS41" s="402"/>
      <c r="AT41" s="403"/>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282"/>
      <c r="C42" s="282"/>
      <c r="D42" s="283"/>
      <c r="E42" s="381"/>
      <c r="F42" s="380"/>
      <c r="G42" s="380"/>
      <c r="H42" s="380"/>
      <c r="I42" s="380"/>
      <c r="J42" s="75" t="str">
        <f>IF(AND('Mapa final'!$AB$47="Baja",'Mapa final'!$AD$47="Leve"),CONCATENATE("R7C",'Mapa final'!$R$47),"")</f>
        <v/>
      </c>
      <c r="K42" s="76" t="str">
        <f>IF(AND('Mapa final'!$AB$48="Baja",'Mapa final'!$AD$48="Leve"),CONCATENATE("R7C",'Mapa final'!$R$48),"")</f>
        <v/>
      </c>
      <c r="L42" s="76" t="str">
        <f>IF(AND('Mapa final'!$AB$49="Baja",'Mapa final'!$AD$49="Leve"),CONCATENATE("R7C",'Mapa final'!$R$49),"")</f>
        <v/>
      </c>
      <c r="M42" s="76" t="str">
        <f>IF(AND('Mapa final'!$AB$50="Baja",'Mapa final'!$AD$50="Leve"),CONCATENATE("R7C",'Mapa final'!$R$50),"")</f>
        <v/>
      </c>
      <c r="N42" s="76" t="str">
        <f>IF(AND('Mapa final'!$AB$51="Baja",'Mapa final'!$AD$51="Leve"),CONCATENATE("R7C",'Mapa final'!$R$51),"")</f>
        <v/>
      </c>
      <c r="O42" s="77" t="str">
        <f>IF(AND('Mapa final'!$AB$52="Baja",'Mapa final'!$AD$52="Leve"),CONCATENATE("R7C",'Mapa final'!$R$52),"")</f>
        <v/>
      </c>
      <c r="P42" s="66" t="str">
        <f>IF(AND('Mapa final'!$AB$47="Baja",'Mapa final'!$AD$47="Menor"),CONCATENATE("R7C",'Mapa final'!$R$47),"")</f>
        <v/>
      </c>
      <c r="Q42" s="67" t="str">
        <f>IF(AND('Mapa final'!$AB$48="Baja",'Mapa final'!$AD$48="Menor"),CONCATENATE("R7C",'Mapa final'!$R$48),"")</f>
        <v/>
      </c>
      <c r="R42" s="67" t="str">
        <f>IF(AND('Mapa final'!$AB$49="Baja",'Mapa final'!$AD$49="Menor"),CONCATENATE("R7C",'Mapa final'!$R$49),"")</f>
        <v/>
      </c>
      <c r="S42" s="67" t="str">
        <f>IF(AND('Mapa final'!$AB$50="Baja",'Mapa final'!$AD$50="Menor"),CONCATENATE("R7C",'Mapa final'!$R$50),"")</f>
        <v/>
      </c>
      <c r="T42" s="67" t="str">
        <f>IF(AND('Mapa final'!$AB$51="Baja",'Mapa final'!$AD$51="Menor"),CONCATENATE("R7C",'Mapa final'!$R$51),"")</f>
        <v/>
      </c>
      <c r="U42" s="68" t="str">
        <f>IF(AND('Mapa final'!$AB$52="Baja",'Mapa final'!$AD$52="Menor"),CONCATENATE("R7C",'Mapa final'!$R$52),"")</f>
        <v/>
      </c>
      <c r="V42" s="66" t="str">
        <f>IF(AND('Mapa final'!$AB$47="Baja",'Mapa final'!$AD$47="Moderado"),CONCATENATE("R7C",'Mapa final'!$R$47),"")</f>
        <v/>
      </c>
      <c r="W42" s="67" t="str">
        <f>IF(AND('Mapa final'!$AB$48="Baja",'Mapa final'!$AD$48="Moderado"),CONCATENATE("R7C",'Mapa final'!$R$48),"")</f>
        <v/>
      </c>
      <c r="X42" s="67" t="str">
        <f>IF(AND('Mapa final'!$AB$49="Baja",'Mapa final'!$AD$49="Moderado"),CONCATENATE("R7C",'Mapa final'!$R$49),"")</f>
        <v/>
      </c>
      <c r="Y42" s="67" t="str">
        <f>IF(AND('Mapa final'!$AB$50="Baja",'Mapa final'!$AD$50="Moderado"),CONCATENATE("R7C",'Mapa final'!$R$50),"")</f>
        <v/>
      </c>
      <c r="Z42" s="67" t="str">
        <f>IF(AND('Mapa final'!$AB$51="Baja",'Mapa final'!$AD$51="Moderado"),CONCATENATE("R7C",'Mapa final'!$R$51),"")</f>
        <v/>
      </c>
      <c r="AA42" s="68" t="str">
        <f>IF(AND('Mapa final'!$AB$52="Baja",'Mapa final'!$AD$52="Moderado"),CONCATENATE("R7C",'Mapa final'!$R$52),"")</f>
        <v/>
      </c>
      <c r="AB42" s="51" t="str">
        <f>IF(AND('Mapa final'!$AB$47="Baja",'Mapa final'!$AD$47="Mayor"),CONCATENATE("R7C",'Mapa final'!$R$47),"")</f>
        <v/>
      </c>
      <c r="AC42" s="52" t="str">
        <f>IF(AND('Mapa final'!$AB$48="Baja",'Mapa final'!$AD$48="Mayor"),CONCATENATE("R7C",'Mapa final'!$R$48),"")</f>
        <v/>
      </c>
      <c r="AD42" s="52" t="str">
        <f>IF(AND('Mapa final'!$AB$49="Baja",'Mapa final'!$AD$49="Mayor"),CONCATENATE("R7C",'Mapa final'!$R$49),"")</f>
        <v/>
      </c>
      <c r="AE42" s="52" t="str">
        <f>IF(AND('Mapa final'!$AB$50="Baja",'Mapa final'!$AD$50="Mayor"),CONCATENATE("R7C",'Mapa final'!$R$50),"")</f>
        <v/>
      </c>
      <c r="AF42" s="52" t="str">
        <f>IF(AND('Mapa final'!$AB$51="Baja",'Mapa final'!$AD$51="Mayor"),CONCATENATE("R7C",'Mapa final'!$R$51),"")</f>
        <v/>
      </c>
      <c r="AG42" s="53" t="str">
        <f>IF(AND('Mapa final'!$AB$52="Baja",'Mapa final'!$AD$52="Mayor"),CONCATENATE("R7C",'Mapa final'!$R$52),"")</f>
        <v/>
      </c>
      <c r="AH42" s="54" t="str">
        <f>IF(AND('Mapa final'!$AB$47="Baja",'Mapa final'!$AD$47="Catastrófico"),CONCATENATE("R7C",'Mapa final'!$R$47),"")</f>
        <v/>
      </c>
      <c r="AI42" s="55" t="str">
        <f>IF(AND('Mapa final'!$AB$48="Baja",'Mapa final'!$AD$48="Catastrófico"),CONCATENATE("R7C",'Mapa final'!$R$48),"")</f>
        <v/>
      </c>
      <c r="AJ42" s="55" t="str">
        <f>IF(AND('Mapa final'!$AB$49="Baja",'Mapa final'!$AD$49="Catastrófico"),CONCATENATE("R7C",'Mapa final'!$R$49),"")</f>
        <v/>
      </c>
      <c r="AK42" s="55" t="str">
        <f>IF(AND('Mapa final'!$AB$50="Baja",'Mapa final'!$AD$50="Catastrófico"),CONCATENATE("R7C",'Mapa final'!$R$50),"")</f>
        <v/>
      </c>
      <c r="AL42" s="55" t="str">
        <f>IF(AND('Mapa final'!$AB$51="Baja",'Mapa final'!$AD$51="Catastrófico"),CONCATENATE("R7C",'Mapa final'!$R$51),"")</f>
        <v/>
      </c>
      <c r="AM42" s="56" t="str">
        <f>IF(AND('Mapa final'!$AB$52="Baja",'Mapa final'!$AD$52="Catastrófico"),CONCATENATE("R7C",'Mapa final'!$R$52),"")</f>
        <v/>
      </c>
      <c r="AN42" s="82"/>
      <c r="AO42" s="401"/>
      <c r="AP42" s="402"/>
      <c r="AQ42" s="402"/>
      <c r="AR42" s="402"/>
      <c r="AS42" s="402"/>
      <c r="AT42" s="403"/>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282"/>
      <c r="C43" s="282"/>
      <c r="D43" s="283"/>
      <c r="E43" s="381"/>
      <c r="F43" s="380"/>
      <c r="G43" s="380"/>
      <c r="H43" s="380"/>
      <c r="I43" s="380"/>
      <c r="J43" s="75" t="str">
        <f>IF(AND('Mapa final'!$AB$53="Baja",'Mapa final'!$AD$53="Leve"),CONCATENATE("R8C",'Mapa final'!$R$53),"")</f>
        <v/>
      </c>
      <c r="K43" s="76" t="str">
        <f>IF(AND('Mapa final'!$AB$54="Baja",'Mapa final'!$AD$54="Leve"),CONCATENATE("R8C",'Mapa final'!$R$54),"")</f>
        <v/>
      </c>
      <c r="L43" s="76" t="str">
        <f>IF(AND('Mapa final'!$AB$55="Baja",'Mapa final'!$AD$55="Leve"),CONCATENATE("R8C",'Mapa final'!$R$55),"")</f>
        <v/>
      </c>
      <c r="M43" s="76" t="str">
        <f>IF(AND('Mapa final'!$AB$56="Baja",'Mapa final'!$AD$56="Leve"),CONCATENATE("R8C",'Mapa final'!$R$56),"")</f>
        <v/>
      </c>
      <c r="N43" s="76" t="str">
        <f>IF(AND('Mapa final'!$AB$57="Baja",'Mapa final'!$AD$57="Leve"),CONCATENATE("R8C",'Mapa final'!$R$57),"")</f>
        <v/>
      </c>
      <c r="O43" s="77" t="str">
        <f>IF(AND('Mapa final'!$AB$58="Baja",'Mapa final'!$AD$58="Leve"),CONCATENATE("R8C",'Mapa final'!$R$58),"")</f>
        <v/>
      </c>
      <c r="P43" s="66" t="str">
        <f>IF(AND('Mapa final'!$AB$53="Baja",'Mapa final'!$AD$53="Menor"),CONCATENATE("R8C",'Mapa final'!$R$53),"")</f>
        <v/>
      </c>
      <c r="Q43" s="67" t="str">
        <f>IF(AND('Mapa final'!$AB$54="Baja",'Mapa final'!$AD$54="Menor"),CONCATENATE("R8C",'Mapa final'!$R$54),"")</f>
        <v/>
      </c>
      <c r="R43" s="67" t="str">
        <f>IF(AND('Mapa final'!$AB$55="Baja",'Mapa final'!$AD$55="Menor"),CONCATENATE("R8C",'Mapa final'!$R$55),"")</f>
        <v/>
      </c>
      <c r="S43" s="67" t="str">
        <f>IF(AND('Mapa final'!$AB$56="Baja",'Mapa final'!$AD$56="Menor"),CONCATENATE("R8C",'Mapa final'!$R$56),"")</f>
        <v/>
      </c>
      <c r="T43" s="67" t="str">
        <f>IF(AND('Mapa final'!$AB$57="Baja",'Mapa final'!$AD$57="Menor"),CONCATENATE("R8C",'Mapa final'!$R$57),"")</f>
        <v/>
      </c>
      <c r="U43" s="68" t="str">
        <f>IF(AND('Mapa final'!$AB$58="Baja",'Mapa final'!$AD$58="Menor"),CONCATENATE("R8C",'Mapa final'!$R$58),"")</f>
        <v/>
      </c>
      <c r="V43" s="66" t="str">
        <f>IF(AND('Mapa final'!$AB$53="Baja",'Mapa final'!$AD$53="Moderado"),CONCATENATE("R8C",'Mapa final'!$R$53),"")</f>
        <v/>
      </c>
      <c r="W43" s="67" t="str">
        <f>IF(AND('Mapa final'!$AB$54="Baja",'Mapa final'!$AD$54="Moderado"),CONCATENATE("R8C",'Mapa final'!$R$54),"")</f>
        <v/>
      </c>
      <c r="X43" s="67" t="str">
        <f>IF(AND('Mapa final'!$AB$55="Baja",'Mapa final'!$AD$55="Moderado"),CONCATENATE("R8C",'Mapa final'!$R$55),"")</f>
        <v/>
      </c>
      <c r="Y43" s="67" t="str">
        <f>IF(AND('Mapa final'!$AB$56="Baja",'Mapa final'!$AD$56="Moderado"),CONCATENATE("R8C",'Mapa final'!$R$56),"")</f>
        <v/>
      </c>
      <c r="Z43" s="67" t="str">
        <f>IF(AND('Mapa final'!$AB$57="Baja",'Mapa final'!$AD$57="Moderado"),CONCATENATE("R8C",'Mapa final'!$R$57),"")</f>
        <v/>
      </c>
      <c r="AA43" s="68" t="str">
        <f>IF(AND('Mapa final'!$AB$58="Baja",'Mapa final'!$AD$58="Moderado"),CONCATENATE("R8C",'Mapa final'!$R$58),"")</f>
        <v/>
      </c>
      <c r="AB43" s="51" t="str">
        <f>IF(AND('Mapa final'!$AB$53="Baja",'Mapa final'!$AD$53="Mayor"),CONCATENATE("R8C",'Mapa final'!$R$53),"")</f>
        <v/>
      </c>
      <c r="AC43" s="52" t="str">
        <f>IF(AND('Mapa final'!$AB$54="Baja",'Mapa final'!$AD$54="Mayor"),CONCATENATE("R8C",'Mapa final'!$R$54),"")</f>
        <v/>
      </c>
      <c r="AD43" s="52" t="str">
        <f>IF(AND('Mapa final'!$AB$55="Baja",'Mapa final'!$AD$55="Mayor"),CONCATENATE("R8C",'Mapa final'!$R$55),"")</f>
        <v/>
      </c>
      <c r="AE43" s="52" t="str">
        <f>IF(AND('Mapa final'!$AB$56="Baja",'Mapa final'!$AD$56="Mayor"),CONCATENATE("R8C",'Mapa final'!$R$56),"")</f>
        <v/>
      </c>
      <c r="AF43" s="52" t="str">
        <f>IF(AND('Mapa final'!$AB$57="Baja",'Mapa final'!$AD$57="Mayor"),CONCATENATE("R8C",'Mapa final'!$R$57),"")</f>
        <v/>
      </c>
      <c r="AG43" s="53" t="str">
        <f>IF(AND('Mapa final'!$AB$58="Baja",'Mapa final'!$AD$58="Mayor"),CONCATENATE("R8C",'Mapa final'!$R$58),"")</f>
        <v/>
      </c>
      <c r="AH43" s="54" t="str">
        <f>IF(AND('Mapa final'!$AB$53="Baja",'Mapa final'!$AD$53="Catastrófico"),CONCATENATE("R8C",'Mapa final'!$R$53),"")</f>
        <v/>
      </c>
      <c r="AI43" s="55" t="str">
        <f>IF(AND('Mapa final'!$AB$54="Baja",'Mapa final'!$AD$54="Catastrófico"),CONCATENATE("R8C",'Mapa final'!$R$54),"")</f>
        <v/>
      </c>
      <c r="AJ43" s="55" t="str">
        <f>IF(AND('Mapa final'!$AB$55="Baja",'Mapa final'!$AD$55="Catastrófico"),CONCATENATE("R8C",'Mapa final'!$R$55),"")</f>
        <v/>
      </c>
      <c r="AK43" s="55" t="str">
        <f>IF(AND('Mapa final'!$AB$56="Baja",'Mapa final'!$AD$56="Catastrófico"),CONCATENATE("R8C",'Mapa final'!$R$56),"")</f>
        <v/>
      </c>
      <c r="AL43" s="55" t="str">
        <f>IF(AND('Mapa final'!$AB$57="Baja",'Mapa final'!$AD$57="Catastrófico"),CONCATENATE("R8C",'Mapa final'!$R$57),"")</f>
        <v/>
      </c>
      <c r="AM43" s="56" t="str">
        <f>IF(AND('Mapa final'!$AB$58="Baja",'Mapa final'!$AD$58="Catastrófico"),CONCATENATE("R8C",'Mapa final'!$R$58),"")</f>
        <v/>
      </c>
      <c r="AN43" s="82"/>
      <c r="AO43" s="401"/>
      <c r="AP43" s="402"/>
      <c r="AQ43" s="402"/>
      <c r="AR43" s="402"/>
      <c r="AS43" s="402"/>
      <c r="AT43" s="403"/>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282"/>
      <c r="C44" s="282"/>
      <c r="D44" s="283"/>
      <c r="E44" s="381"/>
      <c r="F44" s="380"/>
      <c r="G44" s="380"/>
      <c r="H44" s="380"/>
      <c r="I44" s="380"/>
      <c r="J44" s="75" t="str">
        <f>IF(AND('Mapa final'!$AB$59="Baja",'Mapa final'!$AD$59="Leve"),CONCATENATE("R9C",'Mapa final'!$R$59),"")</f>
        <v/>
      </c>
      <c r="K44" s="76" t="str">
        <f>IF(AND('Mapa final'!$AB$60="Baja",'Mapa final'!$AD$60="Leve"),CONCATENATE("R9C",'Mapa final'!$R$60),"")</f>
        <v/>
      </c>
      <c r="L44" s="76" t="str">
        <f>IF(AND('Mapa final'!$AB$61="Baja",'Mapa final'!$AD$61="Leve"),CONCATENATE("R9C",'Mapa final'!$R$61),"")</f>
        <v/>
      </c>
      <c r="M44" s="76" t="str">
        <f>IF(AND('Mapa final'!$AB$62="Baja",'Mapa final'!$AD$62="Leve"),CONCATENATE("R9C",'Mapa final'!$R$62),"")</f>
        <v/>
      </c>
      <c r="N44" s="76" t="str">
        <f>IF(AND('Mapa final'!$AB$63="Baja",'Mapa final'!$AD$63="Leve"),CONCATENATE("R9C",'Mapa final'!$R$63),"")</f>
        <v/>
      </c>
      <c r="O44" s="77" t="str">
        <f>IF(AND('Mapa final'!$AB$64="Baja",'Mapa final'!$AD$64="Leve"),CONCATENATE("R9C",'Mapa final'!$R$64),"")</f>
        <v/>
      </c>
      <c r="P44" s="66" t="str">
        <f>IF(AND('Mapa final'!$AB$59="Baja",'Mapa final'!$AD$59="Menor"),CONCATENATE("R9C",'Mapa final'!$R$59),"")</f>
        <v/>
      </c>
      <c r="Q44" s="67" t="str">
        <f>IF(AND('Mapa final'!$AB$60="Baja",'Mapa final'!$AD$60="Menor"),CONCATENATE("R9C",'Mapa final'!$R$60),"")</f>
        <v/>
      </c>
      <c r="R44" s="67" t="str">
        <f>IF(AND('Mapa final'!$AB$61="Baja",'Mapa final'!$AD$61="Menor"),CONCATENATE("R9C",'Mapa final'!$R$61),"")</f>
        <v/>
      </c>
      <c r="S44" s="67" t="str">
        <f>IF(AND('Mapa final'!$AB$62="Baja",'Mapa final'!$AD$62="Menor"),CONCATENATE("R9C",'Mapa final'!$R$62),"")</f>
        <v/>
      </c>
      <c r="T44" s="67" t="str">
        <f>IF(AND('Mapa final'!$AB$63="Baja",'Mapa final'!$AD$63="Menor"),CONCATENATE("R9C",'Mapa final'!$R$63),"")</f>
        <v/>
      </c>
      <c r="U44" s="68" t="str">
        <f>IF(AND('Mapa final'!$AB$64="Baja",'Mapa final'!$AD$64="Menor"),CONCATENATE("R9C",'Mapa final'!$R$64),"")</f>
        <v/>
      </c>
      <c r="V44" s="66" t="str">
        <f>IF(AND('Mapa final'!$AB$59="Baja",'Mapa final'!$AD$59="Moderado"),CONCATENATE("R9C",'Mapa final'!$R$59),"")</f>
        <v/>
      </c>
      <c r="W44" s="67" t="str">
        <f>IF(AND('Mapa final'!$AB$60="Baja",'Mapa final'!$AD$60="Moderado"),CONCATENATE("R9C",'Mapa final'!$R$60),"")</f>
        <v/>
      </c>
      <c r="X44" s="67" t="str">
        <f>IF(AND('Mapa final'!$AB$61="Baja",'Mapa final'!$AD$61="Moderado"),CONCATENATE("R9C",'Mapa final'!$R$61),"")</f>
        <v/>
      </c>
      <c r="Y44" s="67" t="str">
        <f>IF(AND('Mapa final'!$AB$62="Baja",'Mapa final'!$AD$62="Moderado"),CONCATENATE("R9C",'Mapa final'!$R$62),"")</f>
        <v/>
      </c>
      <c r="Z44" s="67" t="str">
        <f>IF(AND('Mapa final'!$AB$63="Baja",'Mapa final'!$AD$63="Moderado"),CONCATENATE("R9C",'Mapa final'!$R$63),"")</f>
        <v/>
      </c>
      <c r="AA44" s="68" t="str">
        <f>IF(AND('Mapa final'!$AB$64="Baja",'Mapa final'!$AD$64="Moderado"),CONCATENATE("R9C",'Mapa final'!$R$64),"")</f>
        <v/>
      </c>
      <c r="AB44" s="51" t="str">
        <f>IF(AND('Mapa final'!$AB$59="Baja",'Mapa final'!$AD$59="Mayor"),CONCATENATE("R9C",'Mapa final'!$R$59),"")</f>
        <v/>
      </c>
      <c r="AC44" s="52" t="str">
        <f>IF(AND('Mapa final'!$AB$60="Baja",'Mapa final'!$AD$60="Mayor"),CONCATENATE("R9C",'Mapa final'!$R$60),"")</f>
        <v/>
      </c>
      <c r="AD44" s="52" t="str">
        <f>IF(AND('Mapa final'!$AB$61="Baja",'Mapa final'!$AD$61="Mayor"),CONCATENATE("R9C",'Mapa final'!$R$61),"")</f>
        <v/>
      </c>
      <c r="AE44" s="52" t="str">
        <f>IF(AND('Mapa final'!$AB$62="Baja",'Mapa final'!$AD$62="Mayor"),CONCATENATE("R9C",'Mapa final'!$R$62),"")</f>
        <v/>
      </c>
      <c r="AF44" s="52" t="str">
        <f>IF(AND('Mapa final'!$AB$63="Baja",'Mapa final'!$AD$63="Mayor"),CONCATENATE("R9C",'Mapa final'!$R$63),"")</f>
        <v/>
      </c>
      <c r="AG44" s="53" t="str">
        <f>IF(AND('Mapa final'!$AB$64="Baja",'Mapa final'!$AD$64="Mayor"),CONCATENATE("R9C",'Mapa final'!$R$64),"")</f>
        <v/>
      </c>
      <c r="AH44" s="54" t="str">
        <f>IF(AND('Mapa final'!$AB$59="Baja",'Mapa final'!$AD$59="Catastrófico"),CONCATENATE("R9C",'Mapa final'!$R$59),"")</f>
        <v/>
      </c>
      <c r="AI44" s="55" t="str">
        <f>IF(AND('Mapa final'!$AB$60="Baja",'Mapa final'!$AD$60="Catastrófico"),CONCATENATE("R9C",'Mapa final'!$R$60),"")</f>
        <v/>
      </c>
      <c r="AJ44" s="55" t="str">
        <f>IF(AND('Mapa final'!$AB$61="Baja",'Mapa final'!$AD$61="Catastrófico"),CONCATENATE("R9C",'Mapa final'!$R$61),"")</f>
        <v/>
      </c>
      <c r="AK44" s="55" t="str">
        <f>IF(AND('Mapa final'!$AB$62="Baja",'Mapa final'!$AD$62="Catastrófico"),CONCATENATE("R9C",'Mapa final'!$R$62),"")</f>
        <v/>
      </c>
      <c r="AL44" s="55" t="str">
        <f>IF(AND('Mapa final'!$AB$63="Baja",'Mapa final'!$AD$63="Catastrófico"),CONCATENATE("R9C",'Mapa final'!$R$63),"")</f>
        <v/>
      </c>
      <c r="AM44" s="56" t="str">
        <f>IF(AND('Mapa final'!$AB$64="Baja",'Mapa final'!$AD$64="Catastrófico"),CONCATENATE("R9C",'Mapa final'!$R$64),"")</f>
        <v/>
      </c>
      <c r="AN44" s="82"/>
      <c r="AO44" s="401"/>
      <c r="AP44" s="402"/>
      <c r="AQ44" s="402"/>
      <c r="AR44" s="402"/>
      <c r="AS44" s="402"/>
      <c r="AT44" s="403"/>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282"/>
      <c r="C45" s="282"/>
      <c r="D45" s="283"/>
      <c r="E45" s="382"/>
      <c r="F45" s="383"/>
      <c r="G45" s="383"/>
      <c r="H45" s="383"/>
      <c r="I45" s="383"/>
      <c r="J45" s="78" t="str">
        <f>IF(AND('Mapa final'!$AB$65="Baja",'Mapa final'!$AD$65="Leve"),CONCATENATE("R10C",'Mapa final'!$R$65),"")</f>
        <v/>
      </c>
      <c r="K45" s="79" t="str">
        <f>IF(AND('Mapa final'!$AB$66="Baja",'Mapa final'!$AD$66="Leve"),CONCATENATE("R10C",'Mapa final'!$R$66),"")</f>
        <v/>
      </c>
      <c r="L45" s="79" t="str">
        <f>IF(AND('Mapa final'!$AB$67="Baja",'Mapa final'!$AD$67="Leve"),CONCATENATE("R10C",'Mapa final'!$R$67),"")</f>
        <v/>
      </c>
      <c r="M45" s="79" t="str">
        <f>IF(AND('Mapa final'!$AB$68="Baja",'Mapa final'!$AD$68="Leve"),CONCATENATE("R10C",'Mapa final'!$R$68),"")</f>
        <v/>
      </c>
      <c r="N45" s="79" t="str">
        <f>IF(AND('Mapa final'!$AB$69="Baja",'Mapa final'!$AD$69="Leve"),CONCATENATE("R10C",'Mapa final'!$R$69),"")</f>
        <v/>
      </c>
      <c r="O45" s="80" t="str">
        <f>IF(AND('Mapa final'!$AB$70="Baja",'Mapa final'!$AD$70="Leve"),CONCATENATE("R10C",'Mapa final'!$R$70),"")</f>
        <v/>
      </c>
      <c r="P45" s="66" t="str">
        <f>IF(AND('Mapa final'!$AB$65="Baja",'Mapa final'!$AD$65="Menor"),CONCATENATE("R10C",'Mapa final'!$R$65),"")</f>
        <v/>
      </c>
      <c r="Q45" s="67" t="str">
        <f>IF(AND('Mapa final'!$AB$66="Baja",'Mapa final'!$AD$66="Menor"),CONCATENATE("R10C",'Mapa final'!$R$66),"")</f>
        <v/>
      </c>
      <c r="R45" s="67" t="str">
        <f>IF(AND('Mapa final'!$AB$67="Baja",'Mapa final'!$AD$67="Menor"),CONCATENATE("R10C",'Mapa final'!$R$67),"")</f>
        <v/>
      </c>
      <c r="S45" s="67" t="str">
        <f>IF(AND('Mapa final'!$AB$68="Baja",'Mapa final'!$AD$68="Menor"),CONCATENATE("R10C",'Mapa final'!$R$68),"")</f>
        <v/>
      </c>
      <c r="T45" s="67" t="str">
        <f>IF(AND('Mapa final'!$AB$69="Baja",'Mapa final'!$AD$69="Menor"),CONCATENATE("R10C",'Mapa final'!$R$69),"")</f>
        <v/>
      </c>
      <c r="U45" s="68" t="str">
        <f>IF(AND('Mapa final'!$AB$70="Baja",'Mapa final'!$AD$70="Menor"),CONCATENATE("R10C",'Mapa final'!$R$70),"")</f>
        <v/>
      </c>
      <c r="V45" s="69" t="str">
        <f>IF(AND('Mapa final'!$AB$65="Baja",'Mapa final'!$AD$65="Moderado"),CONCATENATE("R10C",'Mapa final'!$R$65),"")</f>
        <v/>
      </c>
      <c r="W45" s="70" t="str">
        <f>IF(AND('Mapa final'!$AB$66="Baja",'Mapa final'!$AD$66="Moderado"),CONCATENATE("R10C",'Mapa final'!$R$66),"")</f>
        <v/>
      </c>
      <c r="X45" s="70" t="str">
        <f>IF(AND('Mapa final'!$AB$67="Baja",'Mapa final'!$AD$67="Moderado"),CONCATENATE("R10C",'Mapa final'!$R$67),"")</f>
        <v/>
      </c>
      <c r="Y45" s="70" t="str">
        <f>IF(AND('Mapa final'!$AB$68="Baja",'Mapa final'!$AD$68="Moderado"),CONCATENATE("R10C",'Mapa final'!$R$68),"")</f>
        <v/>
      </c>
      <c r="Z45" s="70" t="str">
        <f>IF(AND('Mapa final'!$AB$69="Baja",'Mapa final'!$AD$69="Moderado"),CONCATENATE("R10C",'Mapa final'!$R$69),"")</f>
        <v/>
      </c>
      <c r="AA45" s="71" t="str">
        <f>IF(AND('Mapa final'!$AB$70="Baja",'Mapa final'!$AD$70="Moderado"),CONCATENATE("R10C",'Mapa final'!$R$70),"")</f>
        <v/>
      </c>
      <c r="AB45" s="57" t="str">
        <f>IF(AND('Mapa final'!$AB$65="Baja",'Mapa final'!$AD$65="Mayor"),CONCATENATE("R10C",'Mapa final'!$R$65),"")</f>
        <v/>
      </c>
      <c r="AC45" s="58" t="str">
        <f>IF(AND('Mapa final'!$AB$66="Baja",'Mapa final'!$AD$66="Mayor"),CONCATENATE("R10C",'Mapa final'!$R$66),"")</f>
        <v/>
      </c>
      <c r="AD45" s="58" t="str">
        <f>IF(AND('Mapa final'!$AB$67="Baja",'Mapa final'!$AD$67="Mayor"),CONCATENATE("R10C",'Mapa final'!$R$67),"")</f>
        <v/>
      </c>
      <c r="AE45" s="58" t="str">
        <f>IF(AND('Mapa final'!$AB$68="Baja",'Mapa final'!$AD$68="Mayor"),CONCATENATE("R10C",'Mapa final'!$R$68),"")</f>
        <v/>
      </c>
      <c r="AF45" s="58" t="str">
        <f>IF(AND('Mapa final'!$AB$69="Baja",'Mapa final'!$AD$69="Mayor"),CONCATENATE("R10C",'Mapa final'!$R$69),"")</f>
        <v/>
      </c>
      <c r="AG45" s="59" t="str">
        <f>IF(AND('Mapa final'!$AB$70="Baja",'Mapa final'!$AD$70="Mayor"),CONCATENATE("R10C",'Mapa final'!$R$70),"")</f>
        <v/>
      </c>
      <c r="AH45" s="60" t="str">
        <f>IF(AND('Mapa final'!$AB$65="Baja",'Mapa final'!$AD$65="Catastrófico"),CONCATENATE("R10C",'Mapa final'!$R$65),"")</f>
        <v/>
      </c>
      <c r="AI45" s="61" t="str">
        <f>IF(AND('Mapa final'!$AB$66="Baja",'Mapa final'!$AD$66="Catastrófico"),CONCATENATE("R10C",'Mapa final'!$R$66),"")</f>
        <v/>
      </c>
      <c r="AJ45" s="61" t="str">
        <f>IF(AND('Mapa final'!$AB$67="Baja",'Mapa final'!$AD$67="Catastrófico"),CONCATENATE("R10C",'Mapa final'!$R$67),"")</f>
        <v/>
      </c>
      <c r="AK45" s="61" t="str">
        <f>IF(AND('Mapa final'!$AB$68="Baja",'Mapa final'!$AD$68="Catastrófico"),CONCATENATE("R10C",'Mapa final'!$R$68),"")</f>
        <v/>
      </c>
      <c r="AL45" s="61" t="str">
        <f>IF(AND('Mapa final'!$AB$69="Baja",'Mapa final'!$AD$69="Catastrófico"),CONCATENATE("R10C",'Mapa final'!$R$69),"")</f>
        <v/>
      </c>
      <c r="AM45" s="62" t="str">
        <f>IF(AND('Mapa final'!$AB$70="Baja",'Mapa final'!$AD$70="Catastrófico"),CONCATENATE("R10C",'Mapa final'!$R$70),"")</f>
        <v/>
      </c>
      <c r="AN45" s="82"/>
      <c r="AO45" s="404"/>
      <c r="AP45" s="405"/>
      <c r="AQ45" s="405"/>
      <c r="AR45" s="405"/>
      <c r="AS45" s="405"/>
      <c r="AT45" s="406"/>
    </row>
    <row r="46" spans="1:80" ht="46.5" customHeight="1" x14ac:dyDescent="0.35">
      <c r="A46" s="82"/>
      <c r="B46" s="282"/>
      <c r="C46" s="282"/>
      <c r="D46" s="283"/>
      <c r="E46" s="377" t="s">
        <v>105</v>
      </c>
      <c r="F46" s="378"/>
      <c r="G46" s="378"/>
      <c r="H46" s="378"/>
      <c r="I46" s="395"/>
      <c r="J46" s="72" t="str">
        <f>IF(AND('Mapa final'!$AB$11="Muy Baja",'Mapa final'!$AD$11="Leve"),CONCATENATE("R1C",'Mapa final'!$R$11),"")</f>
        <v/>
      </c>
      <c r="K46" s="73" t="str">
        <f>IF(AND('Mapa final'!$AB$12="Muy Baja",'Mapa final'!$AD$12="Leve"),CONCATENATE("R1C",'Mapa final'!$R$12),"")</f>
        <v/>
      </c>
      <c r="L46" s="73" t="str">
        <f>IF(AND('Mapa final'!$AB$13="Muy Baja",'Mapa final'!$AD$13="Leve"),CONCATENATE("R1C",'Mapa final'!$R$13),"")</f>
        <v/>
      </c>
      <c r="M46" s="73" t="str">
        <f>IF(AND('Mapa final'!$AB$14="Muy Baja",'Mapa final'!$AD$14="Leve"),CONCATENATE("R1C",'Mapa final'!$R$14),"")</f>
        <v/>
      </c>
      <c r="N46" s="73" t="str">
        <f>IF(AND('Mapa final'!$AB$15="Muy Baja",'Mapa final'!$AD$15="Leve"),CONCATENATE("R1C",'Mapa final'!$R$15),"")</f>
        <v/>
      </c>
      <c r="O46" s="74" t="str">
        <f>IF(AND('Mapa final'!$AB$16="Muy Baja",'Mapa final'!$AD$16="Leve"),CONCATENATE("R1C",'Mapa final'!$R$16),"")</f>
        <v/>
      </c>
      <c r="P46" s="72" t="str">
        <f>IF(AND('Mapa final'!$AB$11="Muy Baja",'Mapa final'!$AD$11="Menor"),CONCATENATE("R1C",'Mapa final'!$R$11),"")</f>
        <v/>
      </c>
      <c r="Q46" s="73" t="str">
        <f>IF(AND('Mapa final'!$AB$12="Muy Baja",'Mapa final'!$AD$12="Menor"),CONCATENATE("R1C",'Mapa final'!$R$12),"")</f>
        <v>R1C2</v>
      </c>
      <c r="R46" s="73" t="str">
        <f>IF(AND('Mapa final'!$AB$13="Muy Baja",'Mapa final'!$AD$13="Menor"),CONCATENATE("R1C",'Mapa final'!$R$13),"")</f>
        <v/>
      </c>
      <c r="S46" s="73" t="str">
        <f>IF(AND('Mapa final'!$AB$14="Muy Baja",'Mapa final'!$AD$14="Menor"),CONCATENATE("R1C",'Mapa final'!$R$14),"")</f>
        <v/>
      </c>
      <c r="T46" s="73" t="str">
        <f>IF(AND('Mapa final'!$AB$15="Muy Baja",'Mapa final'!$AD$15="Menor"),CONCATENATE("R1C",'Mapa final'!$R$15),"")</f>
        <v/>
      </c>
      <c r="U46" s="74" t="str">
        <f>IF(AND('Mapa final'!$AB$16="Muy Baja",'Mapa final'!$AD$16="Menor"),CONCATENATE("R1C",'Mapa final'!$R$16),"")</f>
        <v/>
      </c>
      <c r="V46" s="63" t="str">
        <f>IF(AND('Mapa final'!$AB$11="Muy Baja",'Mapa final'!$AD$11="Moderado"),CONCATENATE("R1C",'Mapa final'!$R$11),"")</f>
        <v/>
      </c>
      <c r="W46" s="81" t="str">
        <f>IF(AND('Mapa final'!$AB$12="Muy Baja",'Mapa final'!$AD$12="Moderado"),CONCATENATE("R1C",'Mapa final'!$R$12),"")</f>
        <v/>
      </c>
      <c r="X46" s="64" t="str">
        <f>IF(AND('Mapa final'!$AB$13="Muy Baja",'Mapa final'!$AD$13="Moderado"),CONCATENATE("R1C",'Mapa final'!$R$13),"")</f>
        <v/>
      </c>
      <c r="Y46" s="64" t="str">
        <f>IF(AND('Mapa final'!$AB$14="Muy Baja",'Mapa final'!$AD$14="Moderado"),CONCATENATE("R1C",'Mapa final'!$R$14),"")</f>
        <v/>
      </c>
      <c r="Z46" s="64" t="str">
        <f>IF(AND('Mapa final'!$AB$15="Muy Baja",'Mapa final'!$AD$15="Moderado"),CONCATENATE("R1C",'Mapa final'!$R$15),"")</f>
        <v/>
      </c>
      <c r="AA46" s="65" t="str">
        <f>IF(AND('Mapa final'!$AB$16="Muy Baja",'Mapa final'!$AD$16="Moderado"),CONCATENATE("R1C",'Mapa final'!$R$16),"")</f>
        <v/>
      </c>
      <c r="AB46" s="45" t="str">
        <f>IF(AND('Mapa final'!$AB$11="Muy Baja",'Mapa final'!$AD$11="Mayor"),CONCATENATE("R1C",'Mapa final'!$R$11),"")</f>
        <v/>
      </c>
      <c r="AC46" s="46" t="str">
        <f>IF(AND('Mapa final'!$AB$12="Muy Baja",'Mapa final'!$AD$12="Mayor"),CONCATENATE("R1C",'Mapa final'!$R$12),"")</f>
        <v/>
      </c>
      <c r="AD46" s="46" t="str">
        <f>IF(AND('Mapa final'!$AB$13="Muy Baja",'Mapa final'!$AD$13="Mayor"),CONCATENATE("R1C",'Mapa final'!$R$13),"")</f>
        <v/>
      </c>
      <c r="AE46" s="46" t="str">
        <f>IF(AND('Mapa final'!$AB$14="Muy Baja",'Mapa final'!$AD$14="Mayor"),CONCATENATE("R1C",'Mapa final'!$R$14),"")</f>
        <v/>
      </c>
      <c r="AF46" s="46" t="str">
        <f>IF(AND('Mapa final'!$AB$15="Muy Baja",'Mapa final'!$AD$15="Mayor"),CONCATENATE("R1C",'Mapa final'!$R$15),"")</f>
        <v/>
      </c>
      <c r="AG46" s="47" t="str">
        <f>IF(AND('Mapa final'!$AB$16="Muy Baja",'Mapa final'!$AD$16="Mayor"),CONCATENATE("R1C",'Mapa final'!$R$16),"")</f>
        <v/>
      </c>
      <c r="AH46" s="48" t="str">
        <f>IF(AND('Mapa final'!$AB$11="Muy Baja",'Mapa final'!$AD$11="Catastrófico"),CONCATENATE("R1C",'Mapa final'!$R$11),"")</f>
        <v/>
      </c>
      <c r="AI46" s="49" t="str">
        <f>IF(AND('Mapa final'!$AB$12="Muy Baja",'Mapa final'!$AD$12="Catastrófico"),CONCATENATE("R1C",'Mapa final'!$R$12),"")</f>
        <v/>
      </c>
      <c r="AJ46" s="49" t="str">
        <f>IF(AND('Mapa final'!$AB$13="Muy Baja",'Mapa final'!$AD$13="Catastrófico"),CONCATENATE("R1C",'Mapa final'!$R$13),"")</f>
        <v/>
      </c>
      <c r="AK46" s="49" t="str">
        <f>IF(AND('Mapa final'!$AB$14="Muy Baja",'Mapa final'!$AD$14="Catastrófico"),CONCATENATE("R1C",'Mapa final'!$R$14),"")</f>
        <v/>
      </c>
      <c r="AL46" s="49" t="str">
        <f>IF(AND('Mapa final'!$AB$15="Muy Baja",'Mapa final'!$AD$15="Catastrófico"),CONCATENATE("R1C",'Mapa final'!$R$15),"")</f>
        <v/>
      </c>
      <c r="AM46" s="50" t="str">
        <f>IF(AND('Mapa final'!$AB$16="Muy Baja",'Mapa final'!$AD$16="Catastrófico"),CONCATENATE("R1C",'Mapa final'!$R$16),"")</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282"/>
      <c r="C47" s="282"/>
      <c r="D47" s="283"/>
      <c r="E47" s="379"/>
      <c r="F47" s="380"/>
      <c r="G47" s="380"/>
      <c r="H47" s="380"/>
      <c r="I47" s="396"/>
      <c r="J47" s="75" t="str">
        <f>IF(AND('Mapa final'!$AB$17="Muy Baja",'Mapa final'!$AD$17="Leve"),CONCATENATE("R2C",'Mapa final'!$R$17),"")</f>
        <v/>
      </c>
      <c r="K47" s="76" t="str">
        <f>IF(AND('Mapa final'!$AB$18="Muy Baja",'Mapa final'!$AD$18="Leve"),CONCATENATE("R2C",'Mapa final'!$R$18),"")</f>
        <v/>
      </c>
      <c r="L47" s="76" t="str">
        <f>IF(AND('Mapa final'!$AB$19="Muy Baja",'Mapa final'!$AD$19="Leve"),CONCATENATE("R2C",'Mapa final'!$R$19),"")</f>
        <v/>
      </c>
      <c r="M47" s="76" t="str">
        <f>IF(AND('Mapa final'!$AB$20="Muy Baja",'Mapa final'!$AD$20="Leve"),CONCATENATE("R2C",'Mapa final'!$R$20),"")</f>
        <v/>
      </c>
      <c r="N47" s="76" t="str">
        <f>IF(AND('Mapa final'!$AB$21="Muy Baja",'Mapa final'!$AD$21="Leve"),CONCATENATE("R2C",'Mapa final'!$R$21),"")</f>
        <v/>
      </c>
      <c r="O47" s="77" t="str">
        <f>IF(AND('Mapa final'!$AB$22="Muy Baja",'Mapa final'!$AD$22="Leve"),CONCATENATE("R2C",'Mapa final'!$R$22),"")</f>
        <v/>
      </c>
      <c r="P47" s="75" t="str">
        <f>IF(AND('Mapa final'!$AB$17="Muy Baja",'Mapa final'!$AD$17="Menor"),CONCATENATE("R2C",'Mapa final'!$R$17),"")</f>
        <v/>
      </c>
      <c r="Q47" s="76" t="str">
        <f>IF(AND('Mapa final'!$AB$18="Muy Baja",'Mapa final'!$AD$18="Menor"),CONCATENATE("R2C",'Mapa final'!$R$18),"")</f>
        <v/>
      </c>
      <c r="R47" s="76" t="str">
        <f>IF(AND('Mapa final'!$AB$19="Muy Baja",'Mapa final'!$AD$19="Menor"),CONCATENATE("R2C",'Mapa final'!$R$19),"")</f>
        <v/>
      </c>
      <c r="S47" s="76" t="str">
        <f>IF(AND('Mapa final'!$AB$20="Muy Baja",'Mapa final'!$AD$20="Menor"),CONCATENATE("R2C",'Mapa final'!$R$20),"")</f>
        <v/>
      </c>
      <c r="T47" s="76" t="str">
        <f>IF(AND('Mapa final'!$AB$21="Muy Baja",'Mapa final'!$AD$21="Menor"),CONCATENATE("R2C",'Mapa final'!$R$21),"")</f>
        <v/>
      </c>
      <c r="U47" s="77" t="str">
        <f>IF(AND('Mapa final'!$AB$22="Muy Baja",'Mapa final'!$AD$22="Menor"),CONCATENATE("R2C",'Mapa final'!$R$22),"")</f>
        <v/>
      </c>
      <c r="V47" s="66" t="str">
        <f>IF(AND('Mapa final'!$AB$17="Muy Baja",'Mapa final'!$AD$17="Moderado"),CONCATENATE("R2C",'Mapa final'!$R$17),"")</f>
        <v/>
      </c>
      <c r="W47" s="67" t="str">
        <f>IF(AND('Mapa final'!$AB$18="Muy Baja",'Mapa final'!$AD$18="Moderado"),CONCATENATE("R2C",'Mapa final'!$R$18),"")</f>
        <v/>
      </c>
      <c r="X47" s="67" t="str">
        <f>IF(AND('Mapa final'!$AB$19="Muy Baja",'Mapa final'!$AD$19="Moderado"),CONCATENATE("R2C",'Mapa final'!$R$19),"")</f>
        <v/>
      </c>
      <c r="Y47" s="67" t="str">
        <f>IF(AND('Mapa final'!$AB$20="Muy Baja",'Mapa final'!$AD$20="Moderado"),CONCATENATE("R2C",'Mapa final'!$R$20),"")</f>
        <v/>
      </c>
      <c r="Z47" s="67" t="str">
        <f>IF(AND('Mapa final'!$AB$21="Muy Baja",'Mapa final'!$AD$21="Moderado"),CONCATENATE("R2C",'Mapa final'!$R$21),"")</f>
        <v/>
      </c>
      <c r="AA47" s="68" t="str">
        <f>IF(AND('Mapa final'!$AB$22="Muy Baja",'Mapa final'!$AD$22="Moderado"),CONCATENATE("R2C",'Mapa final'!$R$22),"")</f>
        <v/>
      </c>
      <c r="AB47" s="51" t="str">
        <f>IF(AND('Mapa final'!$AB$17="Muy Baja",'Mapa final'!$AD$17="Mayor"),CONCATENATE("R2C",'Mapa final'!$R$17),"")</f>
        <v/>
      </c>
      <c r="AC47" s="52" t="str">
        <f>IF(AND('Mapa final'!$AB$18="Muy Baja",'Mapa final'!$AD$18="Mayor"),CONCATENATE("R2C",'Mapa final'!$R$18),"")</f>
        <v/>
      </c>
      <c r="AD47" s="52" t="str">
        <f>IF(AND('Mapa final'!$AB$19="Muy Baja",'Mapa final'!$AD$19="Mayor"),CONCATENATE("R2C",'Mapa final'!$R$19),"")</f>
        <v/>
      </c>
      <c r="AE47" s="52" t="str">
        <f>IF(AND('Mapa final'!$AB$20="Muy Baja",'Mapa final'!$AD$20="Mayor"),CONCATENATE("R2C",'Mapa final'!$R$20),"")</f>
        <v/>
      </c>
      <c r="AF47" s="52" t="str">
        <f>IF(AND('Mapa final'!$AB$21="Muy Baja",'Mapa final'!$AD$21="Mayor"),CONCATENATE("R2C",'Mapa final'!$R$21),"")</f>
        <v/>
      </c>
      <c r="AG47" s="53" t="str">
        <f>IF(AND('Mapa final'!$AB$22="Muy Baja",'Mapa final'!$AD$22="Mayor"),CONCATENATE("R2C",'Mapa final'!$R$22),"")</f>
        <v/>
      </c>
      <c r="AH47" s="54" t="str">
        <f>IF(AND('Mapa final'!$AB$17="Muy Baja",'Mapa final'!$AD$17="Catastrófico"),CONCATENATE("R2C",'Mapa final'!$R$17),"")</f>
        <v/>
      </c>
      <c r="AI47" s="55" t="str">
        <f>IF(AND('Mapa final'!$AB$18="Muy Baja",'Mapa final'!$AD$18="Catastrófico"),CONCATENATE("R2C",'Mapa final'!$R$18),"")</f>
        <v/>
      </c>
      <c r="AJ47" s="55" t="str">
        <f>IF(AND('Mapa final'!$AB$19="Muy Baja",'Mapa final'!$AD$19="Catastrófico"),CONCATENATE("R2C",'Mapa final'!$R$19),"")</f>
        <v/>
      </c>
      <c r="AK47" s="55" t="str">
        <f>IF(AND('Mapa final'!$AB$20="Muy Baja",'Mapa final'!$AD$20="Catastrófico"),CONCATENATE("R2C",'Mapa final'!$R$20),"")</f>
        <v/>
      </c>
      <c r="AL47" s="55" t="str">
        <f>IF(AND('Mapa final'!$AB$21="Muy Baja",'Mapa final'!$AD$21="Catastrófico"),CONCATENATE("R2C",'Mapa final'!$R$21),"")</f>
        <v/>
      </c>
      <c r="AM47" s="56" t="str">
        <f>IF(AND('Mapa final'!$AB$22="Muy Baja",'Mapa final'!$AD$22="Catastrófico"),CONCATENATE("R2C",'Mapa final'!$R$22),"")</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282"/>
      <c r="C48" s="282"/>
      <c r="D48" s="283"/>
      <c r="E48" s="379"/>
      <c r="F48" s="380"/>
      <c r="G48" s="380"/>
      <c r="H48" s="380"/>
      <c r="I48" s="396"/>
      <c r="J48" s="75" t="str">
        <f>IF(AND('Mapa final'!$AB$23="Muy Baja",'Mapa final'!$AD$23="Leve"),CONCATENATE("R3C",'Mapa final'!$R$23),"")</f>
        <v/>
      </c>
      <c r="K48" s="76" t="str">
        <f>IF(AND('Mapa final'!$AB$24="Muy Baja",'Mapa final'!$AD$24="Leve"),CONCATENATE("R3C",'Mapa final'!$R$24),"")</f>
        <v/>
      </c>
      <c r="L48" s="76" t="str">
        <f>IF(AND('Mapa final'!$AB$25="Muy Baja",'Mapa final'!$AD$25="Leve"),CONCATENATE("R3C",'Mapa final'!$R$25),"")</f>
        <v/>
      </c>
      <c r="M48" s="76" t="str">
        <f>IF(AND('Mapa final'!$AB$26="Muy Baja",'Mapa final'!$AD$26="Leve"),CONCATENATE("R3C",'Mapa final'!$R$26),"")</f>
        <v/>
      </c>
      <c r="N48" s="76" t="str">
        <f>IF(AND('Mapa final'!$AB$27="Muy Baja",'Mapa final'!$AD$27="Leve"),CONCATENATE("R3C",'Mapa final'!$R$27),"")</f>
        <v/>
      </c>
      <c r="O48" s="77" t="str">
        <f>IF(AND('Mapa final'!$AB$28="Muy Baja",'Mapa final'!$AD$28="Leve"),CONCATENATE("R3C",'Mapa final'!$R$28),"")</f>
        <v/>
      </c>
      <c r="P48" s="75" t="str">
        <f>IF(AND('Mapa final'!$AB$23="Muy Baja",'Mapa final'!$AD$23="Menor"),CONCATENATE("R3C",'Mapa final'!$R$23),"")</f>
        <v/>
      </c>
      <c r="Q48" s="76" t="str">
        <f>IF(AND('Mapa final'!$AB$24="Muy Baja",'Mapa final'!$AD$24="Menor"),CONCATENATE("R3C",'Mapa final'!$R$24),"")</f>
        <v/>
      </c>
      <c r="R48" s="76" t="str">
        <f>IF(AND('Mapa final'!$AB$25="Muy Baja",'Mapa final'!$AD$25="Menor"),CONCATENATE("R3C",'Mapa final'!$R$25),"")</f>
        <v/>
      </c>
      <c r="S48" s="76" t="str">
        <f>IF(AND('Mapa final'!$AB$26="Muy Baja",'Mapa final'!$AD$26="Menor"),CONCATENATE("R3C",'Mapa final'!$R$26),"")</f>
        <v/>
      </c>
      <c r="T48" s="76" t="str">
        <f>IF(AND('Mapa final'!$AB$27="Muy Baja",'Mapa final'!$AD$27="Menor"),CONCATENATE("R3C",'Mapa final'!$R$27),"")</f>
        <v/>
      </c>
      <c r="U48" s="77" t="str">
        <f>IF(AND('Mapa final'!$AB$28="Muy Baja",'Mapa final'!$AD$28="Menor"),CONCATENATE("R3C",'Mapa final'!$R$28),"")</f>
        <v/>
      </c>
      <c r="V48" s="66" t="str">
        <f>IF(AND('Mapa final'!$AB$23="Muy Baja",'Mapa final'!$AD$23="Moderado"),CONCATENATE("R3C",'Mapa final'!$R$23),"")</f>
        <v/>
      </c>
      <c r="W48" s="67" t="str">
        <f>IF(AND('Mapa final'!$AB$24="Muy Baja",'Mapa final'!$AD$24="Moderado"),CONCATENATE("R3C",'Mapa final'!$R$24),"")</f>
        <v/>
      </c>
      <c r="X48" s="67" t="str">
        <f>IF(AND('Mapa final'!$AB$25="Muy Baja",'Mapa final'!$AD$25="Moderado"),CONCATENATE("R3C",'Mapa final'!$R$25),"")</f>
        <v/>
      </c>
      <c r="Y48" s="67" t="str">
        <f>IF(AND('Mapa final'!$AB$26="Muy Baja",'Mapa final'!$AD$26="Moderado"),CONCATENATE("R3C",'Mapa final'!$R$26),"")</f>
        <v/>
      </c>
      <c r="Z48" s="67" t="str">
        <f>IF(AND('Mapa final'!$AB$27="Muy Baja",'Mapa final'!$AD$27="Moderado"),CONCATENATE("R3C",'Mapa final'!$R$27),"")</f>
        <v/>
      </c>
      <c r="AA48" s="68" t="str">
        <f>IF(AND('Mapa final'!$AB$28="Muy Baja",'Mapa final'!$AD$28="Moderado"),CONCATENATE("R3C",'Mapa final'!$R$28),"")</f>
        <v/>
      </c>
      <c r="AB48" s="51" t="str">
        <f>IF(AND('Mapa final'!$AB$23="Muy Baja",'Mapa final'!$AD$23="Mayor"),CONCATENATE("R3C",'Mapa final'!$R$23),"")</f>
        <v/>
      </c>
      <c r="AC48" s="52" t="str">
        <f>IF(AND('Mapa final'!$AB$24="Muy Baja",'Mapa final'!$AD$24="Mayor"),CONCATENATE("R3C",'Mapa final'!$R$24),"")</f>
        <v/>
      </c>
      <c r="AD48" s="52" t="str">
        <f>IF(AND('Mapa final'!$AB$25="Muy Baja",'Mapa final'!$AD$25="Mayor"),CONCATENATE("R3C",'Mapa final'!$R$25),"")</f>
        <v/>
      </c>
      <c r="AE48" s="52" t="str">
        <f>IF(AND('Mapa final'!$AB$26="Muy Baja",'Mapa final'!$AD$26="Mayor"),CONCATENATE("R3C",'Mapa final'!$R$26),"")</f>
        <v/>
      </c>
      <c r="AF48" s="52" t="str">
        <f>IF(AND('Mapa final'!$AB$27="Muy Baja",'Mapa final'!$AD$27="Mayor"),CONCATENATE("R3C",'Mapa final'!$R$27),"")</f>
        <v/>
      </c>
      <c r="AG48" s="53" t="str">
        <f>IF(AND('Mapa final'!$AB$28="Muy Baja",'Mapa final'!$AD$28="Mayor"),CONCATENATE("R3C",'Mapa final'!$R$28),"")</f>
        <v/>
      </c>
      <c r="AH48" s="54" t="str">
        <f>IF(AND('Mapa final'!$AB$23="Muy Baja",'Mapa final'!$AD$23="Catastrófico"),CONCATENATE("R3C",'Mapa final'!$R$23),"")</f>
        <v/>
      </c>
      <c r="AI48" s="55" t="str">
        <f>IF(AND('Mapa final'!$AB$24="Muy Baja",'Mapa final'!$AD$24="Catastrófico"),CONCATENATE("R3C",'Mapa final'!$R$24),"")</f>
        <v/>
      </c>
      <c r="AJ48" s="55" t="str">
        <f>IF(AND('Mapa final'!$AB$25="Muy Baja",'Mapa final'!$AD$25="Catastrófico"),CONCATENATE("R3C",'Mapa final'!$R$25),"")</f>
        <v/>
      </c>
      <c r="AK48" s="55" t="str">
        <f>IF(AND('Mapa final'!$AB$26="Muy Baja",'Mapa final'!$AD$26="Catastrófico"),CONCATENATE("R3C",'Mapa final'!$R$26),"")</f>
        <v/>
      </c>
      <c r="AL48" s="55" t="str">
        <f>IF(AND('Mapa final'!$AB$27="Muy Baja",'Mapa final'!$AD$27="Catastrófico"),CONCATENATE("R3C",'Mapa final'!$R$27),"")</f>
        <v/>
      </c>
      <c r="AM48" s="56" t="str">
        <f>IF(AND('Mapa final'!$AB$28="Muy Baja",'Mapa final'!$AD$28="Catastrófico"),CONCATENATE("R3C",'Mapa final'!$R$28),"")</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282"/>
      <c r="C49" s="282"/>
      <c r="D49" s="283"/>
      <c r="E49" s="381"/>
      <c r="F49" s="380"/>
      <c r="G49" s="380"/>
      <c r="H49" s="380"/>
      <c r="I49" s="396"/>
      <c r="J49" s="75" t="str">
        <f>IF(AND('Mapa final'!$AB$29="Muy Baja",'Mapa final'!$AD$29="Leve"),CONCATENATE("R4C",'Mapa final'!$R$29),"")</f>
        <v/>
      </c>
      <c r="K49" s="76" t="str">
        <f>IF(AND('Mapa final'!$AB$30="Muy Baja",'Mapa final'!$AD$30="Leve"),CONCATENATE("R4C",'Mapa final'!$R$30),"")</f>
        <v/>
      </c>
      <c r="L49" s="76" t="str">
        <f>IF(AND('Mapa final'!$AB$31="Muy Baja",'Mapa final'!$AD$31="Leve"),CONCATENATE("R4C",'Mapa final'!$R$31),"")</f>
        <v/>
      </c>
      <c r="M49" s="76" t="str">
        <f>IF(AND('Mapa final'!$AB$32="Muy Baja",'Mapa final'!$AD$32="Leve"),CONCATENATE("R4C",'Mapa final'!$R$32),"")</f>
        <v/>
      </c>
      <c r="N49" s="76" t="str">
        <f>IF(AND('Mapa final'!$AB$33="Muy Baja",'Mapa final'!$AD$33="Leve"),CONCATENATE("R4C",'Mapa final'!$R$33),"")</f>
        <v/>
      </c>
      <c r="O49" s="77" t="str">
        <f>IF(AND('Mapa final'!$AB$34="Muy Baja",'Mapa final'!$AD$34="Leve"),CONCATENATE("R4C",'Mapa final'!$R$34),"")</f>
        <v/>
      </c>
      <c r="P49" s="75" t="str">
        <f>IF(AND('Mapa final'!$AB$29="Muy Baja",'Mapa final'!$AD$29="Menor"),CONCATENATE("R4C",'Mapa final'!$R$29),"")</f>
        <v/>
      </c>
      <c r="Q49" s="76" t="str">
        <f>IF(AND('Mapa final'!$AB$30="Muy Baja",'Mapa final'!$AD$30="Menor"),CONCATENATE("R4C",'Mapa final'!$R$30),"")</f>
        <v/>
      </c>
      <c r="R49" s="76" t="str">
        <f>IF(AND('Mapa final'!$AB$31="Muy Baja",'Mapa final'!$AD$31="Menor"),CONCATENATE("R4C",'Mapa final'!$R$31),"")</f>
        <v/>
      </c>
      <c r="S49" s="76" t="str">
        <f>IF(AND('Mapa final'!$AB$32="Muy Baja",'Mapa final'!$AD$32="Menor"),CONCATENATE("R4C",'Mapa final'!$R$32),"")</f>
        <v/>
      </c>
      <c r="T49" s="76" t="str">
        <f>IF(AND('Mapa final'!$AB$33="Muy Baja",'Mapa final'!$AD$33="Menor"),CONCATENATE("R4C",'Mapa final'!$R$33),"")</f>
        <v/>
      </c>
      <c r="U49" s="77" t="str">
        <f>IF(AND('Mapa final'!$AB$34="Muy Baja",'Mapa final'!$AD$34="Menor"),CONCATENATE("R4C",'Mapa final'!$R$34),"")</f>
        <v/>
      </c>
      <c r="V49" s="66" t="str">
        <f>IF(AND('Mapa final'!$AB$29="Muy Baja",'Mapa final'!$AD$29="Moderado"),CONCATENATE("R4C",'Mapa final'!$R$29),"")</f>
        <v/>
      </c>
      <c r="W49" s="67" t="str">
        <f>IF(AND('Mapa final'!$AB$30="Muy Baja",'Mapa final'!$AD$30="Moderado"),CONCATENATE("R4C",'Mapa final'!$R$30),"")</f>
        <v/>
      </c>
      <c r="X49" s="67" t="str">
        <f>IF(AND('Mapa final'!$AB$31="Muy Baja",'Mapa final'!$AD$31="Moderado"),CONCATENATE("R4C",'Mapa final'!$R$31),"")</f>
        <v/>
      </c>
      <c r="Y49" s="67" t="str">
        <f>IF(AND('Mapa final'!$AB$32="Muy Baja",'Mapa final'!$AD$32="Moderado"),CONCATENATE("R4C",'Mapa final'!$R$32),"")</f>
        <v/>
      </c>
      <c r="Z49" s="67" t="str">
        <f>IF(AND('Mapa final'!$AB$33="Muy Baja",'Mapa final'!$AD$33="Moderado"),CONCATENATE("R4C",'Mapa final'!$R$33),"")</f>
        <v/>
      </c>
      <c r="AA49" s="68" t="str">
        <f>IF(AND('Mapa final'!$AB$34="Muy Baja",'Mapa final'!$AD$34="Moderado"),CONCATENATE("R4C",'Mapa final'!$R$34),"")</f>
        <v/>
      </c>
      <c r="AB49" s="51" t="str">
        <f>IF(AND('Mapa final'!$AB$29="Muy Baja",'Mapa final'!$AD$29="Mayor"),CONCATENATE("R4C",'Mapa final'!$R$29),"")</f>
        <v/>
      </c>
      <c r="AC49" s="52" t="str">
        <f>IF(AND('Mapa final'!$AB$30="Muy Baja",'Mapa final'!$AD$30="Mayor"),CONCATENATE("R4C",'Mapa final'!$R$30),"")</f>
        <v/>
      </c>
      <c r="AD49" s="52" t="str">
        <f>IF(AND('Mapa final'!$AB$31="Muy Baja",'Mapa final'!$AD$31="Mayor"),CONCATENATE("R4C",'Mapa final'!$R$31),"")</f>
        <v/>
      </c>
      <c r="AE49" s="52" t="str">
        <f>IF(AND('Mapa final'!$AB$32="Muy Baja",'Mapa final'!$AD$32="Mayor"),CONCATENATE("R4C",'Mapa final'!$R$32),"")</f>
        <v/>
      </c>
      <c r="AF49" s="52" t="str">
        <f>IF(AND('Mapa final'!$AB$33="Muy Baja",'Mapa final'!$AD$33="Mayor"),CONCATENATE("R4C",'Mapa final'!$R$33),"")</f>
        <v/>
      </c>
      <c r="AG49" s="53" t="str">
        <f>IF(AND('Mapa final'!$AB$34="Muy Baja",'Mapa final'!$AD$34="Mayor"),CONCATENATE("R4C",'Mapa final'!$R$34),"")</f>
        <v/>
      </c>
      <c r="AH49" s="54" t="str">
        <f>IF(AND('Mapa final'!$AB$29="Muy Baja",'Mapa final'!$AD$29="Catastrófico"),CONCATENATE("R4C",'Mapa final'!$R$29),"")</f>
        <v/>
      </c>
      <c r="AI49" s="55" t="str">
        <f>IF(AND('Mapa final'!$AB$30="Muy Baja",'Mapa final'!$AD$30="Catastrófico"),CONCATENATE("R4C",'Mapa final'!$R$30),"")</f>
        <v/>
      </c>
      <c r="AJ49" s="55" t="str">
        <f>IF(AND('Mapa final'!$AB$31="Muy Baja",'Mapa final'!$AD$31="Catastrófico"),CONCATENATE("R4C",'Mapa final'!$R$31),"")</f>
        <v/>
      </c>
      <c r="AK49" s="55" t="str">
        <f>IF(AND('Mapa final'!$AB$32="Muy Baja",'Mapa final'!$AD$32="Catastrófico"),CONCATENATE("R4C",'Mapa final'!$R$32),"")</f>
        <v/>
      </c>
      <c r="AL49" s="55" t="str">
        <f>IF(AND('Mapa final'!$AB$33="Muy Baja",'Mapa final'!$AD$33="Catastrófico"),CONCATENATE("R4C",'Mapa final'!$R$33),"")</f>
        <v/>
      </c>
      <c r="AM49" s="56" t="str">
        <f>IF(AND('Mapa final'!$AB$34="Muy Baja",'Mapa final'!$AD$34="Catastrófico"),CONCATENATE("R4C",'Mapa final'!$R$34),"")</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282"/>
      <c r="C50" s="282"/>
      <c r="D50" s="283"/>
      <c r="E50" s="381"/>
      <c r="F50" s="380"/>
      <c r="G50" s="380"/>
      <c r="H50" s="380"/>
      <c r="I50" s="396"/>
      <c r="J50" s="75" t="str">
        <f>IF(AND('Mapa final'!$AB$35="Muy Baja",'Mapa final'!$AD$35="Leve"),CONCATENATE("R5C",'Mapa final'!$R$35),"")</f>
        <v/>
      </c>
      <c r="K50" s="76" t="str">
        <f>IF(AND('Mapa final'!$AB$36="Muy Baja",'Mapa final'!$AD$36="Leve"),CONCATENATE("R5C",'Mapa final'!$R$36),"")</f>
        <v/>
      </c>
      <c r="L50" s="76" t="str">
        <f>IF(AND('Mapa final'!$AB$37="Muy Baja",'Mapa final'!$AD$37="Leve"),CONCATENATE("R5C",'Mapa final'!$R$37),"")</f>
        <v/>
      </c>
      <c r="M50" s="76" t="str">
        <f>IF(AND('Mapa final'!$AB$38="Muy Baja",'Mapa final'!$AD$38="Leve"),CONCATENATE("R5C",'Mapa final'!$R$38),"")</f>
        <v/>
      </c>
      <c r="N50" s="76" t="str">
        <f>IF(AND('Mapa final'!$AB$39="Muy Baja",'Mapa final'!$AD$39="Leve"),CONCATENATE("R5C",'Mapa final'!$R$39),"")</f>
        <v/>
      </c>
      <c r="O50" s="77" t="str">
        <f>IF(AND('Mapa final'!$AB$40="Muy Baja",'Mapa final'!$AD$40="Leve"),CONCATENATE("R5C",'Mapa final'!$R$40),"")</f>
        <v/>
      </c>
      <c r="P50" s="75" t="str">
        <f>IF(AND('Mapa final'!$AB$35="Muy Baja",'Mapa final'!$AD$35="Menor"),CONCATENATE("R5C",'Mapa final'!$R$35),"")</f>
        <v/>
      </c>
      <c r="Q50" s="76" t="str">
        <f>IF(AND('Mapa final'!$AB$36="Muy Baja",'Mapa final'!$AD$36="Menor"),CONCATENATE("R5C",'Mapa final'!$R$36),"")</f>
        <v/>
      </c>
      <c r="R50" s="76" t="str">
        <f>IF(AND('Mapa final'!$AB$37="Muy Baja",'Mapa final'!$AD$37="Menor"),CONCATENATE("R5C",'Mapa final'!$R$37),"")</f>
        <v/>
      </c>
      <c r="S50" s="76" t="str">
        <f>IF(AND('Mapa final'!$AB$38="Muy Baja",'Mapa final'!$AD$38="Menor"),CONCATENATE("R5C",'Mapa final'!$R$38),"")</f>
        <v/>
      </c>
      <c r="T50" s="76" t="str">
        <f>IF(AND('Mapa final'!$AB$39="Muy Baja",'Mapa final'!$AD$39="Menor"),CONCATENATE("R5C",'Mapa final'!$R$39),"")</f>
        <v/>
      </c>
      <c r="U50" s="77" t="str">
        <f>IF(AND('Mapa final'!$AB$40="Muy Baja",'Mapa final'!$AD$40="Menor"),CONCATENATE("R5C",'Mapa final'!$R$40),"")</f>
        <v/>
      </c>
      <c r="V50" s="66" t="str">
        <f>IF(AND('Mapa final'!$AB$35="Muy Baja",'Mapa final'!$AD$35="Moderado"),CONCATENATE("R5C",'Mapa final'!$R$35),"")</f>
        <v/>
      </c>
      <c r="W50" s="67" t="str">
        <f>IF(AND('Mapa final'!$AB$36="Muy Baja",'Mapa final'!$AD$36="Moderado"),CONCATENATE("R5C",'Mapa final'!$R$36),"")</f>
        <v/>
      </c>
      <c r="X50" s="67" t="str">
        <f>IF(AND('Mapa final'!$AB$37="Muy Baja",'Mapa final'!$AD$37="Moderado"),CONCATENATE("R5C",'Mapa final'!$R$37),"")</f>
        <v/>
      </c>
      <c r="Y50" s="67" t="str">
        <f>IF(AND('Mapa final'!$AB$38="Muy Baja",'Mapa final'!$AD$38="Moderado"),CONCATENATE("R5C",'Mapa final'!$R$38),"")</f>
        <v/>
      </c>
      <c r="Z50" s="67" t="str">
        <f>IF(AND('Mapa final'!$AB$39="Muy Baja",'Mapa final'!$AD$39="Moderado"),CONCATENATE("R5C",'Mapa final'!$R$39),"")</f>
        <v/>
      </c>
      <c r="AA50" s="68" t="str">
        <f>IF(AND('Mapa final'!$AB$40="Muy Baja",'Mapa final'!$AD$40="Moderado"),CONCATENATE("R5C",'Mapa final'!$R$40),"")</f>
        <v/>
      </c>
      <c r="AB50" s="51" t="str">
        <f>IF(AND('Mapa final'!$AB$35="Muy Baja",'Mapa final'!$AD$35="Mayor"),CONCATENATE("R5C",'Mapa final'!$R$35),"")</f>
        <v/>
      </c>
      <c r="AC50" s="52" t="str">
        <f>IF(AND('Mapa final'!$AB$36="Muy Baja",'Mapa final'!$AD$36="Mayor"),CONCATENATE("R5C",'Mapa final'!$R$36),"")</f>
        <v/>
      </c>
      <c r="AD50" s="52" t="str">
        <f>IF(AND('Mapa final'!$AB$37="Muy Baja",'Mapa final'!$AD$37="Mayor"),CONCATENATE("R5C",'Mapa final'!$R$37),"")</f>
        <v/>
      </c>
      <c r="AE50" s="52" t="str">
        <f>IF(AND('Mapa final'!$AB$38="Muy Baja",'Mapa final'!$AD$38="Mayor"),CONCATENATE("R5C",'Mapa final'!$R$38),"")</f>
        <v/>
      </c>
      <c r="AF50" s="52" t="str">
        <f>IF(AND('Mapa final'!$AB$39="Muy Baja",'Mapa final'!$AD$39="Mayor"),CONCATENATE("R5C",'Mapa final'!$R$39),"")</f>
        <v/>
      </c>
      <c r="AG50" s="53" t="str">
        <f>IF(AND('Mapa final'!$AB$40="Muy Baja",'Mapa final'!$AD$40="Mayor"),CONCATENATE("R5C",'Mapa final'!$R$40),"")</f>
        <v/>
      </c>
      <c r="AH50" s="54" t="str">
        <f>IF(AND('Mapa final'!$AB$35="Muy Baja",'Mapa final'!$AD$35="Catastrófico"),CONCATENATE("R5C",'Mapa final'!$R$35),"")</f>
        <v/>
      </c>
      <c r="AI50" s="55" t="str">
        <f>IF(AND('Mapa final'!$AB$36="Muy Baja",'Mapa final'!$AD$36="Catastrófico"),CONCATENATE("R5C",'Mapa final'!$R$36),"")</f>
        <v/>
      </c>
      <c r="AJ50" s="55" t="str">
        <f>IF(AND('Mapa final'!$AB$37="Muy Baja",'Mapa final'!$AD$37="Catastrófico"),CONCATENATE("R5C",'Mapa final'!$R$37),"")</f>
        <v/>
      </c>
      <c r="AK50" s="55" t="str">
        <f>IF(AND('Mapa final'!$AB$38="Muy Baja",'Mapa final'!$AD$38="Catastrófico"),CONCATENATE("R5C",'Mapa final'!$R$38),"")</f>
        <v/>
      </c>
      <c r="AL50" s="55" t="str">
        <f>IF(AND('Mapa final'!$AB$39="Muy Baja",'Mapa final'!$AD$39="Catastrófico"),CONCATENATE("R5C",'Mapa final'!$R$39),"")</f>
        <v/>
      </c>
      <c r="AM50" s="56" t="str">
        <f>IF(AND('Mapa final'!$AB$40="Muy Baja",'Mapa final'!$AD$40="Catastrófico"),CONCATENATE("R5C",'Mapa final'!$R$40),"")</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282"/>
      <c r="C51" s="282"/>
      <c r="D51" s="283"/>
      <c r="E51" s="381"/>
      <c r="F51" s="380"/>
      <c r="G51" s="380"/>
      <c r="H51" s="380"/>
      <c r="I51" s="396"/>
      <c r="J51" s="75" t="str">
        <f>IF(AND('Mapa final'!$AB$41="Muy Baja",'Mapa final'!$AD$41="Leve"),CONCATENATE("R6C",'Mapa final'!$R$41),"")</f>
        <v/>
      </c>
      <c r="K51" s="76" t="str">
        <f>IF(AND('Mapa final'!$AB$42="Muy Baja",'Mapa final'!$AD$42="Leve"),CONCATENATE("R6C",'Mapa final'!$R$42),"")</f>
        <v/>
      </c>
      <c r="L51" s="76" t="str">
        <f>IF(AND('Mapa final'!$AB$43="Muy Baja",'Mapa final'!$AD$43="Leve"),CONCATENATE("R6C",'Mapa final'!$R$43),"")</f>
        <v/>
      </c>
      <c r="M51" s="76" t="str">
        <f>IF(AND('Mapa final'!$AB$44="Muy Baja",'Mapa final'!$AD$44="Leve"),CONCATENATE("R6C",'Mapa final'!$R$44),"")</f>
        <v/>
      </c>
      <c r="N51" s="76" t="str">
        <f>IF(AND('Mapa final'!$AB$45="Muy Baja",'Mapa final'!$AD$45="Leve"),CONCATENATE("R6C",'Mapa final'!$R$45),"")</f>
        <v/>
      </c>
      <c r="O51" s="77" t="str">
        <f>IF(AND('Mapa final'!$AB$46="Muy Baja",'Mapa final'!$AD$46="Leve"),CONCATENATE("R6C",'Mapa final'!$R$46),"")</f>
        <v/>
      </c>
      <c r="P51" s="75" t="str">
        <f>IF(AND('Mapa final'!$AB$41="Muy Baja",'Mapa final'!$AD$41="Menor"),CONCATENATE("R6C",'Mapa final'!$R$41),"")</f>
        <v/>
      </c>
      <c r="Q51" s="76" t="str">
        <f>IF(AND('Mapa final'!$AB$42="Muy Baja",'Mapa final'!$AD$42="Menor"),CONCATENATE("R6C",'Mapa final'!$R$42),"")</f>
        <v/>
      </c>
      <c r="R51" s="76" t="str">
        <f>IF(AND('Mapa final'!$AB$43="Muy Baja",'Mapa final'!$AD$43="Menor"),CONCATENATE("R6C",'Mapa final'!$R$43),"")</f>
        <v/>
      </c>
      <c r="S51" s="76" t="str">
        <f>IF(AND('Mapa final'!$AB$44="Muy Baja",'Mapa final'!$AD$44="Menor"),CONCATENATE("R6C",'Mapa final'!$R$44),"")</f>
        <v/>
      </c>
      <c r="T51" s="76" t="str">
        <f>IF(AND('Mapa final'!$AB$45="Muy Baja",'Mapa final'!$AD$45="Menor"),CONCATENATE("R6C",'Mapa final'!$R$45),"")</f>
        <v/>
      </c>
      <c r="U51" s="77" t="str">
        <f>IF(AND('Mapa final'!$AB$46="Muy Baja",'Mapa final'!$AD$46="Menor"),CONCATENATE("R6C",'Mapa final'!$R$46),"")</f>
        <v/>
      </c>
      <c r="V51" s="66" t="str">
        <f>IF(AND('Mapa final'!$AB$41="Muy Baja",'Mapa final'!$AD$41="Moderado"),CONCATENATE("R6C",'Mapa final'!$R$41),"")</f>
        <v/>
      </c>
      <c r="W51" s="67" t="str">
        <f>IF(AND('Mapa final'!$AB$42="Muy Baja",'Mapa final'!$AD$42="Moderado"),CONCATENATE("R6C",'Mapa final'!$R$42),"")</f>
        <v/>
      </c>
      <c r="X51" s="67" t="str">
        <f>IF(AND('Mapa final'!$AB$43="Muy Baja",'Mapa final'!$AD$43="Moderado"),CONCATENATE("R6C",'Mapa final'!$R$43),"")</f>
        <v/>
      </c>
      <c r="Y51" s="67" t="str">
        <f>IF(AND('Mapa final'!$AB$44="Muy Baja",'Mapa final'!$AD$44="Moderado"),CONCATENATE("R6C",'Mapa final'!$R$44),"")</f>
        <v/>
      </c>
      <c r="Z51" s="67" t="str">
        <f>IF(AND('Mapa final'!$AB$45="Muy Baja",'Mapa final'!$AD$45="Moderado"),CONCATENATE("R6C",'Mapa final'!$R$45),"")</f>
        <v/>
      </c>
      <c r="AA51" s="68" t="str">
        <f>IF(AND('Mapa final'!$AB$46="Muy Baja",'Mapa final'!$AD$46="Moderado"),CONCATENATE("R6C",'Mapa final'!$R$46),"")</f>
        <v/>
      </c>
      <c r="AB51" s="51" t="str">
        <f>IF(AND('Mapa final'!$AB$41="Muy Baja",'Mapa final'!$AD$41="Mayor"),CONCATENATE("R6C",'Mapa final'!$R$41),"")</f>
        <v/>
      </c>
      <c r="AC51" s="52" t="str">
        <f>IF(AND('Mapa final'!$AB$42="Muy Baja",'Mapa final'!$AD$42="Mayor"),CONCATENATE("R6C",'Mapa final'!$R$42),"")</f>
        <v/>
      </c>
      <c r="AD51" s="52" t="str">
        <f>IF(AND('Mapa final'!$AB$43="Muy Baja",'Mapa final'!$AD$43="Mayor"),CONCATENATE("R6C",'Mapa final'!$R$43),"")</f>
        <v/>
      </c>
      <c r="AE51" s="52" t="str">
        <f>IF(AND('Mapa final'!$AB$44="Muy Baja",'Mapa final'!$AD$44="Mayor"),CONCATENATE("R6C",'Mapa final'!$R$44),"")</f>
        <v/>
      </c>
      <c r="AF51" s="52" t="str">
        <f>IF(AND('Mapa final'!$AB$45="Muy Baja",'Mapa final'!$AD$45="Mayor"),CONCATENATE("R6C",'Mapa final'!$R$45),"")</f>
        <v/>
      </c>
      <c r="AG51" s="53" t="str">
        <f>IF(AND('Mapa final'!$AB$46="Muy Baja",'Mapa final'!$AD$46="Mayor"),CONCATENATE("R6C",'Mapa final'!$R$46),"")</f>
        <v/>
      </c>
      <c r="AH51" s="54" t="str">
        <f>IF(AND('Mapa final'!$AB$41="Muy Baja",'Mapa final'!$AD$41="Catastrófico"),CONCATENATE("R6C",'Mapa final'!$R$41),"")</f>
        <v/>
      </c>
      <c r="AI51" s="55" t="str">
        <f>IF(AND('Mapa final'!$AB$42="Muy Baja",'Mapa final'!$AD$42="Catastrófico"),CONCATENATE("R6C",'Mapa final'!$R$42),"")</f>
        <v/>
      </c>
      <c r="AJ51" s="55" t="str">
        <f>IF(AND('Mapa final'!$AB$43="Muy Baja",'Mapa final'!$AD$43="Catastrófico"),CONCATENATE("R6C",'Mapa final'!$R$43),"")</f>
        <v/>
      </c>
      <c r="AK51" s="55" t="str">
        <f>IF(AND('Mapa final'!$AB$44="Muy Baja",'Mapa final'!$AD$44="Catastrófico"),CONCATENATE("R6C",'Mapa final'!$R$44),"")</f>
        <v/>
      </c>
      <c r="AL51" s="55" t="str">
        <f>IF(AND('Mapa final'!$AB$45="Muy Baja",'Mapa final'!$AD$45="Catastrófico"),CONCATENATE("R6C",'Mapa final'!$R$45),"")</f>
        <v/>
      </c>
      <c r="AM51" s="56" t="str">
        <f>IF(AND('Mapa final'!$AB$46="Muy Baja",'Mapa final'!$AD$46="Catastrófico"),CONCATENATE("R6C",'Mapa final'!$R$46),"")</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282"/>
      <c r="C52" s="282"/>
      <c r="D52" s="283"/>
      <c r="E52" s="381"/>
      <c r="F52" s="380"/>
      <c r="G52" s="380"/>
      <c r="H52" s="380"/>
      <c r="I52" s="396"/>
      <c r="J52" s="75" t="str">
        <f>IF(AND('Mapa final'!$AB$47="Muy Baja",'Mapa final'!$AD$47="Leve"),CONCATENATE("R7C",'Mapa final'!$R$47),"")</f>
        <v/>
      </c>
      <c r="K52" s="76" t="str">
        <f>IF(AND('Mapa final'!$AB$48="Muy Baja",'Mapa final'!$AD$48="Leve"),CONCATENATE("R7C",'Mapa final'!$R$48),"")</f>
        <v/>
      </c>
      <c r="L52" s="76" t="str">
        <f>IF(AND('Mapa final'!$AB$49="Muy Baja",'Mapa final'!$AD$49="Leve"),CONCATENATE("R7C",'Mapa final'!$R$49),"")</f>
        <v/>
      </c>
      <c r="M52" s="76" t="str">
        <f>IF(AND('Mapa final'!$AB$50="Muy Baja",'Mapa final'!$AD$50="Leve"),CONCATENATE("R7C",'Mapa final'!$R$50),"")</f>
        <v/>
      </c>
      <c r="N52" s="76" t="str">
        <f>IF(AND('Mapa final'!$AB$51="Muy Baja",'Mapa final'!$AD$51="Leve"),CONCATENATE("R7C",'Mapa final'!$R$51),"")</f>
        <v/>
      </c>
      <c r="O52" s="77" t="str">
        <f>IF(AND('Mapa final'!$AB$52="Muy Baja",'Mapa final'!$AD$52="Leve"),CONCATENATE("R7C",'Mapa final'!$R$52),"")</f>
        <v/>
      </c>
      <c r="P52" s="75" t="str">
        <f>IF(AND('Mapa final'!$AB$47="Muy Baja",'Mapa final'!$AD$47="Menor"),CONCATENATE("R7C",'Mapa final'!$R$47),"")</f>
        <v/>
      </c>
      <c r="Q52" s="76" t="str">
        <f>IF(AND('Mapa final'!$AB$48="Muy Baja",'Mapa final'!$AD$48="Menor"),CONCATENATE("R7C",'Mapa final'!$R$48),"")</f>
        <v/>
      </c>
      <c r="R52" s="76" t="str">
        <f>IF(AND('Mapa final'!$AB$49="Muy Baja",'Mapa final'!$AD$49="Menor"),CONCATENATE("R7C",'Mapa final'!$R$49),"")</f>
        <v/>
      </c>
      <c r="S52" s="76" t="str">
        <f>IF(AND('Mapa final'!$AB$50="Muy Baja",'Mapa final'!$AD$50="Menor"),CONCATENATE("R7C",'Mapa final'!$R$50),"")</f>
        <v/>
      </c>
      <c r="T52" s="76" t="str">
        <f>IF(AND('Mapa final'!$AB$51="Muy Baja",'Mapa final'!$AD$51="Menor"),CONCATENATE("R7C",'Mapa final'!$R$51),"")</f>
        <v/>
      </c>
      <c r="U52" s="77" t="str">
        <f>IF(AND('Mapa final'!$AB$52="Muy Baja",'Mapa final'!$AD$52="Menor"),CONCATENATE("R7C",'Mapa final'!$R$52),"")</f>
        <v/>
      </c>
      <c r="V52" s="66" t="str">
        <f>IF(AND('Mapa final'!$AB$47="Muy Baja",'Mapa final'!$AD$47="Moderado"),CONCATENATE("R7C",'Mapa final'!$R$47),"")</f>
        <v/>
      </c>
      <c r="W52" s="67" t="str">
        <f>IF(AND('Mapa final'!$AB$48="Muy Baja",'Mapa final'!$AD$48="Moderado"),CONCATENATE("R7C",'Mapa final'!$R$48),"")</f>
        <v/>
      </c>
      <c r="X52" s="67" t="str">
        <f>IF(AND('Mapa final'!$AB$49="Muy Baja",'Mapa final'!$AD$49="Moderado"),CONCATENATE("R7C",'Mapa final'!$R$49),"")</f>
        <v/>
      </c>
      <c r="Y52" s="67" t="str">
        <f>IF(AND('Mapa final'!$AB$50="Muy Baja",'Mapa final'!$AD$50="Moderado"),CONCATENATE("R7C",'Mapa final'!$R$50),"")</f>
        <v/>
      </c>
      <c r="Z52" s="67" t="str">
        <f>IF(AND('Mapa final'!$AB$51="Muy Baja",'Mapa final'!$AD$51="Moderado"),CONCATENATE("R7C",'Mapa final'!$R$51),"")</f>
        <v/>
      </c>
      <c r="AA52" s="68" t="str">
        <f>IF(AND('Mapa final'!$AB$52="Muy Baja",'Mapa final'!$AD$52="Moderado"),CONCATENATE("R7C",'Mapa final'!$R$52),"")</f>
        <v/>
      </c>
      <c r="AB52" s="51" t="str">
        <f>IF(AND('Mapa final'!$AB$47="Muy Baja",'Mapa final'!$AD$47="Mayor"),CONCATENATE("R7C",'Mapa final'!$R$47),"")</f>
        <v/>
      </c>
      <c r="AC52" s="52" t="str">
        <f>IF(AND('Mapa final'!$AB$48="Muy Baja",'Mapa final'!$AD$48="Mayor"),CONCATENATE("R7C",'Mapa final'!$R$48),"")</f>
        <v/>
      </c>
      <c r="AD52" s="52" t="str">
        <f>IF(AND('Mapa final'!$AB$49="Muy Baja",'Mapa final'!$AD$49="Mayor"),CONCATENATE("R7C",'Mapa final'!$R$49),"")</f>
        <v/>
      </c>
      <c r="AE52" s="52" t="str">
        <f>IF(AND('Mapa final'!$AB$50="Muy Baja",'Mapa final'!$AD$50="Mayor"),CONCATENATE("R7C",'Mapa final'!$R$50),"")</f>
        <v/>
      </c>
      <c r="AF52" s="52" t="str">
        <f>IF(AND('Mapa final'!$AB$51="Muy Baja",'Mapa final'!$AD$51="Mayor"),CONCATENATE("R7C",'Mapa final'!$R$51),"")</f>
        <v/>
      </c>
      <c r="AG52" s="53" t="str">
        <f>IF(AND('Mapa final'!$AB$52="Muy Baja",'Mapa final'!$AD$52="Mayor"),CONCATENATE("R7C",'Mapa final'!$R$52),"")</f>
        <v/>
      </c>
      <c r="AH52" s="54" t="str">
        <f>IF(AND('Mapa final'!$AB$47="Muy Baja",'Mapa final'!$AD$47="Catastrófico"),CONCATENATE("R7C",'Mapa final'!$R$47),"")</f>
        <v/>
      </c>
      <c r="AI52" s="55" t="str">
        <f>IF(AND('Mapa final'!$AB$48="Muy Baja",'Mapa final'!$AD$48="Catastrófico"),CONCATENATE("R7C",'Mapa final'!$R$48),"")</f>
        <v/>
      </c>
      <c r="AJ52" s="55" t="str">
        <f>IF(AND('Mapa final'!$AB$49="Muy Baja",'Mapa final'!$AD$49="Catastrófico"),CONCATENATE("R7C",'Mapa final'!$R$49),"")</f>
        <v/>
      </c>
      <c r="AK52" s="55" t="str">
        <f>IF(AND('Mapa final'!$AB$50="Muy Baja",'Mapa final'!$AD$50="Catastrófico"),CONCATENATE("R7C",'Mapa final'!$R$50),"")</f>
        <v/>
      </c>
      <c r="AL52" s="55" t="str">
        <f>IF(AND('Mapa final'!$AB$51="Muy Baja",'Mapa final'!$AD$51="Catastrófico"),CONCATENATE("R7C",'Mapa final'!$R$51),"")</f>
        <v/>
      </c>
      <c r="AM52" s="56" t="str">
        <f>IF(AND('Mapa final'!$AB$52="Muy Baja",'Mapa final'!$AD$52="Catastrófico"),CONCATENATE("R7C",'Mapa final'!$R$52),"")</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282"/>
      <c r="C53" s="282"/>
      <c r="D53" s="283"/>
      <c r="E53" s="381"/>
      <c r="F53" s="380"/>
      <c r="G53" s="380"/>
      <c r="H53" s="380"/>
      <c r="I53" s="396"/>
      <c r="J53" s="75" t="str">
        <f>IF(AND('Mapa final'!$AB$53="Muy Baja",'Mapa final'!$AD$53="Leve"),CONCATENATE("R8C",'Mapa final'!$R$53),"")</f>
        <v/>
      </c>
      <c r="K53" s="76" t="str">
        <f>IF(AND('Mapa final'!$AB$54="Muy Baja",'Mapa final'!$AD$54="Leve"),CONCATENATE("R8C",'Mapa final'!$R$54),"")</f>
        <v/>
      </c>
      <c r="L53" s="76" t="str">
        <f>IF(AND('Mapa final'!$AB$55="Muy Baja",'Mapa final'!$AD$55="Leve"),CONCATENATE("R8C",'Mapa final'!$R$55),"")</f>
        <v/>
      </c>
      <c r="M53" s="76" t="str">
        <f>IF(AND('Mapa final'!$AB$56="Muy Baja",'Mapa final'!$AD$56="Leve"),CONCATENATE("R8C",'Mapa final'!$R$56),"")</f>
        <v/>
      </c>
      <c r="N53" s="76" t="str">
        <f>IF(AND('Mapa final'!$AB$57="Muy Baja",'Mapa final'!$AD$57="Leve"),CONCATENATE("R8C",'Mapa final'!$R$57),"")</f>
        <v/>
      </c>
      <c r="O53" s="77" t="str">
        <f>IF(AND('Mapa final'!$AB$58="Muy Baja",'Mapa final'!$AD$58="Leve"),CONCATENATE("R8C",'Mapa final'!$R$58),"")</f>
        <v/>
      </c>
      <c r="P53" s="75" t="str">
        <f>IF(AND('Mapa final'!$AB$53="Muy Baja",'Mapa final'!$AD$53="Menor"),CONCATENATE("R8C",'Mapa final'!$R$53),"")</f>
        <v/>
      </c>
      <c r="Q53" s="76" t="str">
        <f>IF(AND('Mapa final'!$AB$54="Muy Baja",'Mapa final'!$AD$54="Menor"),CONCATENATE("R8C",'Mapa final'!$R$54),"")</f>
        <v/>
      </c>
      <c r="R53" s="76" t="str">
        <f>IF(AND('Mapa final'!$AB$55="Muy Baja",'Mapa final'!$AD$55="Menor"),CONCATENATE("R8C",'Mapa final'!$R$55),"")</f>
        <v/>
      </c>
      <c r="S53" s="76" t="str">
        <f>IF(AND('Mapa final'!$AB$56="Muy Baja",'Mapa final'!$AD$56="Menor"),CONCATENATE("R8C",'Mapa final'!$R$56),"")</f>
        <v/>
      </c>
      <c r="T53" s="76" t="str">
        <f>IF(AND('Mapa final'!$AB$57="Muy Baja",'Mapa final'!$AD$57="Menor"),CONCATENATE("R8C",'Mapa final'!$R$57),"")</f>
        <v/>
      </c>
      <c r="U53" s="77" t="str">
        <f>IF(AND('Mapa final'!$AB$58="Muy Baja",'Mapa final'!$AD$58="Menor"),CONCATENATE("R8C",'Mapa final'!$R$58),"")</f>
        <v/>
      </c>
      <c r="V53" s="66" t="str">
        <f>IF(AND('Mapa final'!$AB$53="Muy Baja",'Mapa final'!$AD$53="Moderado"),CONCATENATE("R8C",'Mapa final'!$R$53),"")</f>
        <v/>
      </c>
      <c r="W53" s="67" t="str">
        <f>IF(AND('Mapa final'!$AB$54="Muy Baja",'Mapa final'!$AD$54="Moderado"),CONCATENATE("R8C",'Mapa final'!$R$54),"")</f>
        <v/>
      </c>
      <c r="X53" s="67" t="str">
        <f>IF(AND('Mapa final'!$AB$55="Muy Baja",'Mapa final'!$AD$55="Moderado"),CONCATENATE("R8C",'Mapa final'!$R$55),"")</f>
        <v/>
      </c>
      <c r="Y53" s="67" t="str">
        <f>IF(AND('Mapa final'!$AB$56="Muy Baja",'Mapa final'!$AD$56="Moderado"),CONCATENATE("R8C",'Mapa final'!$R$56),"")</f>
        <v/>
      </c>
      <c r="Z53" s="67" t="str">
        <f>IF(AND('Mapa final'!$AB$57="Muy Baja",'Mapa final'!$AD$57="Moderado"),CONCATENATE("R8C",'Mapa final'!$R$57),"")</f>
        <v/>
      </c>
      <c r="AA53" s="68" t="str">
        <f>IF(AND('Mapa final'!$AB$58="Muy Baja",'Mapa final'!$AD$58="Moderado"),CONCATENATE("R8C",'Mapa final'!$R$58),"")</f>
        <v/>
      </c>
      <c r="AB53" s="51" t="str">
        <f>IF(AND('Mapa final'!$AB$53="Muy Baja",'Mapa final'!$AD$53="Mayor"),CONCATENATE("R8C",'Mapa final'!$R$53),"")</f>
        <v/>
      </c>
      <c r="AC53" s="52" t="str">
        <f>IF(AND('Mapa final'!$AB$54="Muy Baja",'Mapa final'!$AD$54="Mayor"),CONCATENATE("R8C",'Mapa final'!$R$54),"")</f>
        <v/>
      </c>
      <c r="AD53" s="52" t="str">
        <f>IF(AND('Mapa final'!$AB$55="Muy Baja",'Mapa final'!$AD$55="Mayor"),CONCATENATE("R8C",'Mapa final'!$R$55),"")</f>
        <v/>
      </c>
      <c r="AE53" s="52" t="str">
        <f>IF(AND('Mapa final'!$AB$56="Muy Baja",'Mapa final'!$AD$56="Mayor"),CONCATENATE("R8C",'Mapa final'!$R$56),"")</f>
        <v/>
      </c>
      <c r="AF53" s="52" t="str">
        <f>IF(AND('Mapa final'!$AB$57="Muy Baja",'Mapa final'!$AD$57="Mayor"),CONCATENATE("R8C",'Mapa final'!$R$57),"")</f>
        <v/>
      </c>
      <c r="AG53" s="53" t="str">
        <f>IF(AND('Mapa final'!$AB$58="Muy Baja",'Mapa final'!$AD$58="Mayor"),CONCATENATE("R8C",'Mapa final'!$R$58),"")</f>
        <v/>
      </c>
      <c r="AH53" s="54" t="str">
        <f>IF(AND('Mapa final'!$AB$53="Muy Baja",'Mapa final'!$AD$53="Catastrófico"),CONCATENATE("R8C",'Mapa final'!$R$53),"")</f>
        <v/>
      </c>
      <c r="AI53" s="55" t="str">
        <f>IF(AND('Mapa final'!$AB$54="Muy Baja",'Mapa final'!$AD$54="Catastrófico"),CONCATENATE("R8C",'Mapa final'!$R$54),"")</f>
        <v/>
      </c>
      <c r="AJ53" s="55" t="str">
        <f>IF(AND('Mapa final'!$AB$55="Muy Baja",'Mapa final'!$AD$55="Catastrófico"),CONCATENATE("R8C",'Mapa final'!$R$55),"")</f>
        <v/>
      </c>
      <c r="AK53" s="55" t="str">
        <f>IF(AND('Mapa final'!$AB$56="Muy Baja",'Mapa final'!$AD$56="Catastrófico"),CONCATENATE("R8C",'Mapa final'!$R$56),"")</f>
        <v/>
      </c>
      <c r="AL53" s="55" t="str">
        <f>IF(AND('Mapa final'!$AB$57="Muy Baja",'Mapa final'!$AD$57="Catastrófico"),CONCATENATE("R8C",'Mapa final'!$R$57),"")</f>
        <v/>
      </c>
      <c r="AM53" s="56" t="str">
        <f>IF(AND('Mapa final'!$AB$58="Muy Baja",'Mapa final'!$AD$58="Catastrófico"),CONCATENATE("R8C",'Mapa final'!$R$58),"")</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282"/>
      <c r="C54" s="282"/>
      <c r="D54" s="283"/>
      <c r="E54" s="381"/>
      <c r="F54" s="380"/>
      <c r="G54" s="380"/>
      <c r="H54" s="380"/>
      <c r="I54" s="396"/>
      <c r="J54" s="75" t="str">
        <f>IF(AND('Mapa final'!$AB$59="Muy Baja",'Mapa final'!$AD$59="Leve"),CONCATENATE("R9C",'Mapa final'!$R$59),"")</f>
        <v/>
      </c>
      <c r="K54" s="76" t="str">
        <f>IF(AND('Mapa final'!$AB$60="Muy Baja",'Mapa final'!$AD$60="Leve"),CONCATENATE("R9C",'Mapa final'!$R$60),"")</f>
        <v/>
      </c>
      <c r="L54" s="76" t="str">
        <f>IF(AND('Mapa final'!$AB$61="Muy Baja",'Mapa final'!$AD$61="Leve"),CONCATENATE("R9C",'Mapa final'!$R$61),"")</f>
        <v/>
      </c>
      <c r="M54" s="76" t="str">
        <f>IF(AND('Mapa final'!$AB$62="Muy Baja",'Mapa final'!$AD$62="Leve"),CONCATENATE("R9C",'Mapa final'!$R$62),"")</f>
        <v/>
      </c>
      <c r="N54" s="76" t="str">
        <f>IF(AND('Mapa final'!$AB$63="Muy Baja",'Mapa final'!$AD$63="Leve"),CONCATENATE("R9C",'Mapa final'!$R$63),"")</f>
        <v/>
      </c>
      <c r="O54" s="77" t="str">
        <f>IF(AND('Mapa final'!$AB$64="Muy Baja",'Mapa final'!$AD$64="Leve"),CONCATENATE("R9C",'Mapa final'!$R$64),"")</f>
        <v/>
      </c>
      <c r="P54" s="75" t="str">
        <f>IF(AND('Mapa final'!$AB$59="Muy Baja",'Mapa final'!$AD$59="Menor"),CONCATENATE("R9C",'Mapa final'!$R$59),"")</f>
        <v/>
      </c>
      <c r="Q54" s="76" t="str">
        <f>IF(AND('Mapa final'!$AB$60="Muy Baja",'Mapa final'!$AD$60="Menor"),CONCATENATE("R9C",'Mapa final'!$R$60),"")</f>
        <v/>
      </c>
      <c r="R54" s="76" t="str">
        <f>IF(AND('Mapa final'!$AB$61="Muy Baja",'Mapa final'!$AD$61="Menor"),CONCATENATE("R9C",'Mapa final'!$R$61),"")</f>
        <v/>
      </c>
      <c r="S54" s="76" t="str">
        <f>IF(AND('Mapa final'!$AB$62="Muy Baja",'Mapa final'!$AD$62="Menor"),CONCATENATE("R9C",'Mapa final'!$R$62),"")</f>
        <v/>
      </c>
      <c r="T54" s="76" t="str">
        <f>IF(AND('Mapa final'!$AB$63="Muy Baja",'Mapa final'!$AD$63="Menor"),CONCATENATE("R9C",'Mapa final'!$R$63),"")</f>
        <v/>
      </c>
      <c r="U54" s="77" t="str">
        <f>IF(AND('Mapa final'!$AB$64="Muy Baja",'Mapa final'!$AD$64="Menor"),CONCATENATE("R9C",'Mapa final'!$R$64),"")</f>
        <v/>
      </c>
      <c r="V54" s="66" t="str">
        <f>IF(AND('Mapa final'!$AB$59="Muy Baja",'Mapa final'!$AD$59="Moderado"),CONCATENATE("R9C",'Mapa final'!$R$59),"")</f>
        <v/>
      </c>
      <c r="W54" s="67" t="str">
        <f>IF(AND('Mapa final'!$AB$60="Muy Baja",'Mapa final'!$AD$60="Moderado"),CONCATENATE("R9C",'Mapa final'!$R$60),"")</f>
        <v/>
      </c>
      <c r="X54" s="67" t="str">
        <f>IF(AND('Mapa final'!$AB$61="Muy Baja",'Mapa final'!$AD$61="Moderado"),CONCATENATE("R9C",'Mapa final'!$R$61),"")</f>
        <v/>
      </c>
      <c r="Y54" s="67" t="str">
        <f>IF(AND('Mapa final'!$AB$62="Muy Baja",'Mapa final'!$AD$62="Moderado"),CONCATENATE("R9C",'Mapa final'!$R$62),"")</f>
        <v/>
      </c>
      <c r="Z54" s="67" t="str">
        <f>IF(AND('Mapa final'!$AB$63="Muy Baja",'Mapa final'!$AD$63="Moderado"),CONCATENATE("R9C",'Mapa final'!$R$63),"")</f>
        <v/>
      </c>
      <c r="AA54" s="68" t="str">
        <f>IF(AND('Mapa final'!$AB$64="Muy Baja",'Mapa final'!$AD$64="Moderado"),CONCATENATE("R9C",'Mapa final'!$R$64),"")</f>
        <v/>
      </c>
      <c r="AB54" s="51" t="str">
        <f>IF(AND('Mapa final'!$AB$59="Muy Baja",'Mapa final'!$AD$59="Mayor"),CONCATENATE("R9C",'Mapa final'!$R$59),"")</f>
        <v/>
      </c>
      <c r="AC54" s="52" t="str">
        <f>IF(AND('Mapa final'!$AB$60="Muy Baja",'Mapa final'!$AD$60="Mayor"),CONCATENATE("R9C",'Mapa final'!$R$60),"")</f>
        <v/>
      </c>
      <c r="AD54" s="52" t="str">
        <f>IF(AND('Mapa final'!$AB$61="Muy Baja",'Mapa final'!$AD$61="Mayor"),CONCATENATE("R9C",'Mapa final'!$R$61),"")</f>
        <v/>
      </c>
      <c r="AE54" s="52" t="str">
        <f>IF(AND('Mapa final'!$AB$62="Muy Baja",'Mapa final'!$AD$62="Mayor"),CONCATENATE("R9C",'Mapa final'!$R$62),"")</f>
        <v/>
      </c>
      <c r="AF54" s="52" t="str">
        <f>IF(AND('Mapa final'!$AB$63="Muy Baja",'Mapa final'!$AD$63="Mayor"),CONCATENATE("R9C",'Mapa final'!$R$63),"")</f>
        <v/>
      </c>
      <c r="AG54" s="53" t="str">
        <f>IF(AND('Mapa final'!$AB$64="Muy Baja",'Mapa final'!$AD$64="Mayor"),CONCATENATE("R9C",'Mapa final'!$R$64),"")</f>
        <v/>
      </c>
      <c r="AH54" s="54" t="str">
        <f>IF(AND('Mapa final'!$AB$59="Muy Baja",'Mapa final'!$AD$59="Catastrófico"),CONCATENATE("R9C",'Mapa final'!$R$59),"")</f>
        <v/>
      </c>
      <c r="AI54" s="55" t="str">
        <f>IF(AND('Mapa final'!$AB$60="Muy Baja",'Mapa final'!$AD$60="Catastrófico"),CONCATENATE("R9C",'Mapa final'!$R$60),"")</f>
        <v/>
      </c>
      <c r="AJ54" s="55" t="str">
        <f>IF(AND('Mapa final'!$AB$61="Muy Baja",'Mapa final'!$AD$61="Catastrófico"),CONCATENATE("R9C",'Mapa final'!$R$61),"")</f>
        <v/>
      </c>
      <c r="AK54" s="55" t="str">
        <f>IF(AND('Mapa final'!$AB$62="Muy Baja",'Mapa final'!$AD$62="Catastrófico"),CONCATENATE("R9C",'Mapa final'!$R$62),"")</f>
        <v/>
      </c>
      <c r="AL54" s="55" t="str">
        <f>IF(AND('Mapa final'!$AB$63="Muy Baja",'Mapa final'!$AD$63="Catastrófico"),CONCATENATE("R9C",'Mapa final'!$R$63),"")</f>
        <v/>
      </c>
      <c r="AM54" s="56" t="str">
        <f>IF(AND('Mapa final'!$AB$64="Muy Baja",'Mapa final'!$AD$64="Catastrófico"),CONCATENATE("R9C",'Mapa final'!$R$64),"")</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282"/>
      <c r="C55" s="282"/>
      <c r="D55" s="283"/>
      <c r="E55" s="382"/>
      <c r="F55" s="383"/>
      <c r="G55" s="383"/>
      <c r="H55" s="383"/>
      <c r="I55" s="397"/>
      <c r="J55" s="78" t="str">
        <f>IF(AND('Mapa final'!$AB$65="Muy Baja",'Mapa final'!$AD$65="Leve"),CONCATENATE("R10C",'Mapa final'!$R$65),"")</f>
        <v/>
      </c>
      <c r="K55" s="79" t="str">
        <f>IF(AND('Mapa final'!$AB$66="Muy Baja",'Mapa final'!$AD$66="Leve"),CONCATENATE("R10C",'Mapa final'!$R$66),"")</f>
        <v/>
      </c>
      <c r="L55" s="79" t="str">
        <f>IF(AND('Mapa final'!$AB$67="Muy Baja",'Mapa final'!$AD$67="Leve"),CONCATENATE("R10C",'Mapa final'!$R$67),"")</f>
        <v/>
      </c>
      <c r="M55" s="79" t="str">
        <f>IF(AND('Mapa final'!$AB$68="Muy Baja",'Mapa final'!$AD$68="Leve"),CONCATENATE("R10C",'Mapa final'!$R$68),"")</f>
        <v/>
      </c>
      <c r="N55" s="79" t="str">
        <f>IF(AND('Mapa final'!$AB$69="Muy Baja",'Mapa final'!$AD$69="Leve"),CONCATENATE("R10C",'Mapa final'!$R$69),"")</f>
        <v/>
      </c>
      <c r="O55" s="80" t="str">
        <f>IF(AND('Mapa final'!$AB$70="Muy Baja",'Mapa final'!$AD$70="Leve"),CONCATENATE("R10C",'Mapa final'!$R$70),"")</f>
        <v/>
      </c>
      <c r="P55" s="78" t="str">
        <f>IF(AND('Mapa final'!$AB$65="Muy Baja",'Mapa final'!$AD$65="Menor"),CONCATENATE("R10C",'Mapa final'!$R$65),"")</f>
        <v/>
      </c>
      <c r="Q55" s="79" t="str">
        <f>IF(AND('Mapa final'!$AB$66="Muy Baja",'Mapa final'!$AD$66="Menor"),CONCATENATE("R10C",'Mapa final'!$R$66),"")</f>
        <v/>
      </c>
      <c r="R55" s="79" t="str">
        <f>IF(AND('Mapa final'!$AB$67="Muy Baja",'Mapa final'!$AD$67="Menor"),CONCATENATE("R10C",'Mapa final'!$R$67),"")</f>
        <v/>
      </c>
      <c r="S55" s="79" t="str">
        <f>IF(AND('Mapa final'!$AB$68="Muy Baja",'Mapa final'!$AD$68="Menor"),CONCATENATE("R10C",'Mapa final'!$R$68),"")</f>
        <v/>
      </c>
      <c r="T55" s="79" t="str">
        <f>IF(AND('Mapa final'!$AB$69="Muy Baja",'Mapa final'!$AD$69="Menor"),CONCATENATE("R10C",'Mapa final'!$R$69),"")</f>
        <v/>
      </c>
      <c r="U55" s="80" t="str">
        <f>IF(AND('Mapa final'!$AB$70="Muy Baja",'Mapa final'!$AD$70="Menor"),CONCATENATE("R10C",'Mapa final'!$R$70),"")</f>
        <v/>
      </c>
      <c r="V55" s="69" t="str">
        <f>IF(AND('Mapa final'!$AB$65="Muy Baja",'Mapa final'!$AD$65="Moderado"),CONCATENATE("R10C",'Mapa final'!$R$65),"")</f>
        <v/>
      </c>
      <c r="W55" s="70" t="str">
        <f>IF(AND('Mapa final'!$AB$66="Muy Baja",'Mapa final'!$AD$66="Moderado"),CONCATENATE("R10C",'Mapa final'!$R$66),"")</f>
        <v/>
      </c>
      <c r="X55" s="70" t="str">
        <f>IF(AND('Mapa final'!$AB$67="Muy Baja",'Mapa final'!$AD$67="Moderado"),CONCATENATE("R10C",'Mapa final'!$R$67),"")</f>
        <v/>
      </c>
      <c r="Y55" s="70" t="str">
        <f>IF(AND('Mapa final'!$AB$68="Muy Baja",'Mapa final'!$AD$68="Moderado"),CONCATENATE("R10C",'Mapa final'!$R$68),"")</f>
        <v/>
      </c>
      <c r="Z55" s="70" t="str">
        <f>IF(AND('Mapa final'!$AB$69="Muy Baja",'Mapa final'!$AD$69="Moderado"),CONCATENATE("R10C",'Mapa final'!$R$69),"")</f>
        <v/>
      </c>
      <c r="AA55" s="71" t="str">
        <f>IF(AND('Mapa final'!$AB$70="Muy Baja",'Mapa final'!$AD$70="Moderado"),CONCATENATE("R10C",'Mapa final'!$R$70),"")</f>
        <v/>
      </c>
      <c r="AB55" s="57" t="str">
        <f>IF(AND('Mapa final'!$AB$65="Muy Baja",'Mapa final'!$AD$65="Mayor"),CONCATENATE("R10C",'Mapa final'!$R$65),"")</f>
        <v/>
      </c>
      <c r="AC55" s="58" t="str">
        <f>IF(AND('Mapa final'!$AB$66="Muy Baja",'Mapa final'!$AD$66="Mayor"),CONCATENATE("R10C",'Mapa final'!$R$66),"")</f>
        <v/>
      </c>
      <c r="AD55" s="58" t="str">
        <f>IF(AND('Mapa final'!$AB$67="Muy Baja",'Mapa final'!$AD$67="Mayor"),CONCATENATE("R10C",'Mapa final'!$R$67),"")</f>
        <v/>
      </c>
      <c r="AE55" s="58" t="str">
        <f>IF(AND('Mapa final'!$AB$68="Muy Baja",'Mapa final'!$AD$68="Mayor"),CONCATENATE("R10C",'Mapa final'!$R$68),"")</f>
        <v/>
      </c>
      <c r="AF55" s="58" t="str">
        <f>IF(AND('Mapa final'!$AB$69="Muy Baja",'Mapa final'!$AD$69="Mayor"),CONCATENATE("R10C",'Mapa final'!$R$69),"")</f>
        <v/>
      </c>
      <c r="AG55" s="59" t="str">
        <f>IF(AND('Mapa final'!$AB$70="Muy Baja",'Mapa final'!$AD$70="Mayor"),CONCATENATE("R10C",'Mapa final'!$R$70),"")</f>
        <v/>
      </c>
      <c r="AH55" s="60" t="str">
        <f>IF(AND('Mapa final'!$AB$65="Muy Baja",'Mapa final'!$AD$65="Catastrófico"),CONCATENATE("R10C",'Mapa final'!$R$65),"")</f>
        <v/>
      </c>
      <c r="AI55" s="61" t="str">
        <f>IF(AND('Mapa final'!$AB$66="Muy Baja",'Mapa final'!$AD$66="Catastrófico"),CONCATENATE("R10C",'Mapa final'!$R$66),"")</f>
        <v/>
      </c>
      <c r="AJ55" s="61" t="str">
        <f>IF(AND('Mapa final'!$AB$67="Muy Baja",'Mapa final'!$AD$67="Catastrófico"),CONCATENATE("R10C",'Mapa final'!$R$67),"")</f>
        <v/>
      </c>
      <c r="AK55" s="61" t="str">
        <f>IF(AND('Mapa final'!$AB$68="Muy Baja",'Mapa final'!$AD$68="Catastrófico"),CONCATENATE("R10C",'Mapa final'!$R$68),"")</f>
        <v/>
      </c>
      <c r="AL55" s="61" t="str">
        <f>IF(AND('Mapa final'!$AB$69="Muy Baja",'Mapa final'!$AD$69="Catastrófico"),CONCATENATE("R10C",'Mapa final'!$R$69),"")</f>
        <v/>
      </c>
      <c r="AM55" s="62" t="str">
        <f>IF(AND('Mapa final'!$AB$70="Muy Baja",'Mapa final'!$AD$70="Catastrófico"),CONCATENATE("R10C",'Mapa final'!$R$70),"")</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77" t="s">
        <v>104</v>
      </c>
      <c r="K56" s="378"/>
      <c r="L56" s="378"/>
      <c r="M56" s="378"/>
      <c r="N56" s="378"/>
      <c r="O56" s="395"/>
      <c r="P56" s="377" t="s">
        <v>103</v>
      </c>
      <c r="Q56" s="378"/>
      <c r="R56" s="378"/>
      <c r="S56" s="378"/>
      <c r="T56" s="378"/>
      <c r="U56" s="395"/>
      <c r="V56" s="377" t="s">
        <v>102</v>
      </c>
      <c r="W56" s="378"/>
      <c r="X56" s="378"/>
      <c r="Y56" s="378"/>
      <c r="Z56" s="378"/>
      <c r="AA56" s="395"/>
      <c r="AB56" s="377" t="s">
        <v>101</v>
      </c>
      <c r="AC56" s="416"/>
      <c r="AD56" s="378"/>
      <c r="AE56" s="378"/>
      <c r="AF56" s="378"/>
      <c r="AG56" s="395"/>
      <c r="AH56" s="377" t="s">
        <v>100</v>
      </c>
      <c r="AI56" s="378"/>
      <c r="AJ56" s="378"/>
      <c r="AK56" s="378"/>
      <c r="AL56" s="378"/>
      <c r="AM56" s="395"/>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81"/>
      <c r="K57" s="380"/>
      <c r="L57" s="380"/>
      <c r="M57" s="380"/>
      <c r="N57" s="380"/>
      <c r="O57" s="396"/>
      <c r="P57" s="381"/>
      <c r="Q57" s="380"/>
      <c r="R57" s="380"/>
      <c r="S57" s="380"/>
      <c r="T57" s="380"/>
      <c r="U57" s="396"/>
      <c r="V57" s="381"/>
      <c r="W57" s="380"/>
      <c r="X57" s="380"/>
      <c r="Y57" s="380"/>
      <c r="Z57" s="380"/>
      <c r="AA57" s="396"/>
      <c r="AB57" s="381"/>
      <c r="AC57" s="380"/>
      <c r="AD57" s="380"/>
      <c r="AE57" s="380"/>
      <c r="AF57" s="380"/>
      <c r="AG57" s="396"/>
      <c r="AH57" s="381"/>
      <c r="AI57" s="380"/>
      <c r="AJ57" s="380"/>
      <c r="AK57" s="380"/>
      <c r="AL57" s="380"/>
      <c r="AM57" s="396"/>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81"/>
      <c r="K58" s="380"/>
      <c r="L58" s="380"/>
      <c r="M58" s="380"/>
      <c r="N58" s="380"/>
      <c r="O58" s="396"/>
      <c r="P58" s="381"/>
      <c r="Q58" s="380"/>
      <c r="R58" s="380"/>
      <c r="S58" s="380"/>
      <c r="T58" s="380"/>
      <c r="U58" s="396"/>
      <c r="V58" s="381"/>
      <c r="W58" s="380"/>
      <c r="X58" s="380"/>
      <c r="Y58" s="380"/>
      <c r="Z58" s="380"/>
      <c r="AA58" s="396"/>
      <c r="AB58" s="381"/>
      <c r="AC58" s="380"/>
      <c r="AD58" s="380"/>
      <c r="AE58" s="380"/>
      <c r="AF58" s="380"/>
      <c r="AG58" s="396"/>
      <c r="AH58" s="381"/>
      <c r="AI58" s="380"/>
      <c r="AJ58" s="380"/>
      <c r="AK58" s="380"/>
      <c r="AL58" s="380"/>
      <c r="AM58" s="396"/>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81"/>
      <c r="K59" s="380"/>
      <c r="L59" s="380"/>
      <c r="M59" s="380"/>
      <c r="N59" s="380"/>
      <c r="O59" s="396"/>
      <c r="P59" s="381"/>
      <c r="Q59" s="380"/>
      <c r="R59" s="380"/>
      <c r="S59" s="380"/>
      <c r="T59" s="380"/>
      <c r="U59" s="396"/>
      <c r="V59" s="381"/>
      <c r="W59" s="380"/>
      <c r="X59" s="380"/>
      <c r="Y59" s="380"/>
      <c r="Z59" s="380"/>
      <c r="AA59" s="396"/>
      <c r="AB59" s="381"/>
      <c r="AC59" s="380"/>
      <c r="AD59" s="380"/>
      <c r="AE59" s="380"/>
      <c r="AF59" s="380"/>
      <c r="AG59" s="396"/>
      <c r="AH59" s="381"/>
      <c r="AI59" s="380"/>
      <c r="AJ59" s="380"/>
      <c r="AK59" s="380"/>
      <c r="AL59" s="380"/>
      <c r="AM59" s="396"/>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81"/>
      <c r="K60" s="380"/>
      <c r="L60" s="380"/>
      <c r="M60" s="380"/>
      <c r="N60" s="380"/>
      <c r="O60" s="396"/>
      <c r="P60" s="381"/>
      <c r="Q60" s="380"/>
      <c r="R60" s="380"/>
      <c r="S60" s="380"/>
      <c r="T60" s="380"/>
      <c r="U60" s="396"/>
      <c r="V60" s="381"/>
      <c r="W60" s="380"/>
      <c r="X60" s="380"/>
      <c r="Y60" s="380"/>
      <c r="Z60" s="380"/>
      <c r="AA60" s="396"/>
      <c r="AB60" s="381"/>
      <c r="AC60" s="380"/>
      <c r="AD60" s="380"/>
      <c r="AE60" s="380"/>
      <c r="AF60" s="380"/>
      <c r="AG60" s="396"/>
      <c r="AH60" s="381"/>
      <c r="AI60" s="380"/>
      <c r="AJ60" s="380"/>
      <c r="AK60" s="380"/>
      <c r="AL60" s="380"/>
      <c r="AM60" s="396"/>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82"/>
      <c r="K61" s="383"/>
      <c r="L61" s="383"/>
      <c r="M61" s="383"/>
      <c r="N61" s="383"/>
      <c r="O61" s="397"/>
      <c r="P61" s="382"/>
      <c r="Q61" s="383"/>
      <c r="R61" s="383"/>
      <c r="S61" s="383"/>
      <c r="T61" s="383"/>
      <c r="U61" s="397"/>
      <c r="V61" s="382"/>
      <c r="W61" s="383"/>
      <c r="X61" s="383"/>
      <c r="Y61" s="383"/>
      <c r="Z61" s="383"/>
      <c r="AA61" s="397"/>
      <c r="AB61" s="382"/>
      <c r="AC61" s="383"/>
      <c r="AD61" s="383"/>
      <c r="AE61" s="383"/>
      <c r="AF61" s="383"/>
      <c r="AG61" s="397"/>
      <c r="AH61" s="382"/>
      <c r="AI61" s="383"/>
      <c r="AJ61" s="383"/>
      <c r="AK61" s="383"/>
      <c r="AL61" s="383"/>
      <c r="AM61" s="397"/>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B8" sqref="B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17" t="s">
        <v>53</v>
      </c>
      <c r="C1" s="417"/>
      <c r="D1" s="417"/>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50</v>
      </c>
      <c r="D3" s="11" t="s">
        <v>3</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49</v>
      </c>
      <c r="C4" s="13" t="s">
        <v>205</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51</v>
      </c>
      <c r="C5" s="16" t="s">
        <v>206</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99</v>
      </c>
      <c r="C6" s="16" t="s">
        <v>207</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5</v>
      </c>
      <c r="C7" s="16" t="s">
        <v>208</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52</v>
      </c>
      <c r="C8" s="16" t="s">
        <v>209</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8"/>
  <sheetViews>
    <sheetView zoomScale="60" zoomScaleNormal="60" workbookViewId="0">
      <selection activeCell="A210" sqref="A210"/>
    </sheetView>
  </sheetViews>
  <sheetFormatPr baseColWidth="10" defaultRowHeight="15" x14ac:dyDescent="0.25"/>
  <cols>
    <col min="2" max="2" width="40.42578125" customWidth="1"/>
    <col min="3" max="3" width="74.85546875" customWidth="1"/>
    <col min="4" max="4" width="126.42578125" bestFit="1" customWidth="1"/>
    <col min="5" max="5" width="12.42578125" bestFit="1" customWidth="1"/>
    <col min="6" max="6" width="144.7109375" bestFit="1" customWidth="1"/>
    <col min="7" max="7" width="47.140625" bestFit="1" customWidth="1"/>
    <col min="8" max="8" width="125.140625" bestFit="1" customWidth="1"/>
    <col min="9" max="9" width="146.28515625" bestFit="1" customWidth="1"/>
    <col min="10" max="10" width="52.140625" bestFit="1" customWidth="1"/>
    <col min="11" max="11" width="147.42578125" bestFit="1" customWidth="1"/>
    <col min="12" max="12" width="16.42578125" bestFit="1" customWidth="1"/>
  </cols>
  <sheetData>
    <row r="1" spans="1:21" ht="33.75" x14ac:dyDescent="0.25">
      <c r="A1" s="82"/>
      <c r="B1" s="418" t="s">
        <v>61</v>
      </c>
      <c r="C1" s="418"/>
      <c r="D1" s="418"/>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54</v>
      </c>
      <c r="D3" s="35" t="s">
        <v>55</v>
      </c>
      <c r="E3" s="82"/>
      <c r="F3" s="82"/>
      <c r="G3" s="82"/>
      <c r="H3" s="82"/>
      <c r="I3" s="82"/>
      <c r="J3" s="82"/>
      <c r="K3" s="82"/>
      <c r="L3" s="82"/>
      <c r="M3" s="82"/>
      <c r="N3" s="82"/>
      <c r="O3" s="82"/>
      <c r="P3" s="82"/>
      <c r="Q3" s="82"/>
      <c r="R3" s="82"/>
      <c r="S3" s="82"/>
      <c r="T3" s="82"/>
      <c r="U3" s="82"/>
    </row>
    <row r="4" spans="1:21" ht="33.75" x14ac:dyDescent="0.25">
      <c r="A4" s="102" t="s">
        <v>80</v>
      </c>
      <c r="B4" s="38" t="s">
        <v>98</v>
      </c>
      <c r="C4" s="43" t="s">
        <v>140</v>
      </c>
      <c r="D4" s="36" t="s">
        <v>94</v>
      </c>
      <c r="E4" s="82"/>
      <c r="F4" s="82"/>
      <c r="G4" s="82"/>
      <c r="H4" s="82"/>
      <c r="I4" s="82"/>
      <c r="J4" s="82"/>
      <c r="K4" s="82"/>
      <c r="L4" s="82"/>
      <c r="M4" s="82"/>
      <c r="N4" s="82"/>
      <c r="O4" s="82"/>
      <c r="P4" s="82"/>
      <c r="Q4" s="82"/>
      <c r="R4" s="82"/>
      <c r="S4" s="82"/>
      <c r="T4" s="82"/>
      <c r="U4" s="82"/>
    </row>
    <row r="5" spans="1:21" ht="101.25" x14ac:dyDescent="0.25">
      <c r="A5" s="102" t="s">
        <v>81</v>
      </c>
      <c r="B5" s="39" t="s">
        <v>57</v>
      </c>
      <c r="C5" s="44" t="s">
        <v>90</v>
      </c>
      <c r="D5" s="37" t="s">
        <v>95</v>
      </c>
      <c r="E5" s="82"/>
      <c r="F5" s="82"/>
      <c r="G5" s="82"/>
      <c r="H5" s="82"/>
      <c r="I5" s="82"/>
      <c r="J5" s="82"/>
      <c r="K5" s="82"/>
      <c r="L5" s="82"/>
      <c r="M5" s="82"/>
      <c r="N5" s="82"/>
      <c r="O5" s="82"/>
      <c r="P5" s="82"/>
      <c r="Q5" s="82"/>
      <c r="R5" s="82"/>
      <c r="S5" s="82"/>
      <c r="T5" s="82"/>
      <c r="U5" s="82"/>
    </row>
    <row r="6" spans="1:21" ht="67.5" x14ac:dyDescent="0.25">
      <c r="A6" s="102" t="s">
        <v>78</v>
      </c>
      <c r="B6" s="40" t="s">
        <v>58</v>
      </c>
      <c r="C6" s="44" t="s">
        <v>91</v>
      </c>
      <c r="D6" s="37" t="s">
        <v>97</v>
      </c>
      <c r="E6" s="82"/>
      <c r="F6" s="82"/>
      <c r="G6" s="82"/>
      <c r="H6" s="82"/>
      <c r="I6" s="82"/>
      <c r="J6" s="82"/>
      <c r="K6" s="82"/>
      <c r="L6" s="82"/>
      <c r="M6" s="82"/>
      <c r="N6" s="82"/>
      <c r="O6" s="82"/>
      <c r="P6" s="82"/>
      <c r="Q6" s="82"/>
      <c r="R6" s="82"/>
      <c r="S6" s="82"/>
      <c r="T6" s="82"/>
      <c r="U6" s="82"/>
    </row>
    <row r="7" spans="1:21" ht="101.25" x14ac:dyDescent="0.25">
      <c r="A7" s="102" t="s">
        <v>6</v>
      </c>
      <c r="B7" s="41" t="s">
        <v>59</v>
      </c>
      <c r="C7" s="44" t="s">
        <v>92</v>
      </c>
      <c r="D7" s="37" t="s">
        <v>96</v>
      </c>
      <c r="E7" s="82"/>
      <c r="F7" s="82"/>
      <c r="G7" s="82"/>
      <c r="H7" s="82"/>
      <c r="I7" s="82"/>
      <c r="J7" s="82"/>
      <c r="K7" s="82"/>
      <c r="L7" s="82"/>
      <c r="M7" s="82"/>
      <c r="N7" s="82"/>
      <c r="O7" s="82"/>
      <c r="P7" s="82"/>
      <c r="Q7" s="82"/>
      <c r="R7" s="82"/>
      <c r="S7" s="82"/>
      <c r="T7" s="82"/>
      <c r="U7" s="82"/>
    </row>
    <row r="8" spans="1:21" ht="67.5" x14ac:dyDescent="0.25">
      <c r="A8" s="102" t="s">
        <v>82</v>
      </c>
      <c r="B8" s="42" t="s">
        <v>60</v>
      </c>
      <c r="C8" s="44" t="s">
        <v>93</v>
      </c>
      <c r="D8" s="37" t="s">
        <v>110</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88</v>
      </c>
      <c r="C11" s="102" t="s">
        <v>128</v>
      </c>
      <c r="D11" s="102" t="s">
        <v>135</v>
      </c>
      <c r="E11" s="82"/>
      <c r="F11" s="82"/>
      <c r="G11" s="82"/>
      <c r="H11" s="82"/>
      <c r="I11" s="82"/>
      <c r="J11" s="82"/>
      <c r="K11" s="82"/>
      <c r="L11" s="82"/>
      <c r="M11" s="82"/>
      <c r="N11" s="82"/>
      <c r="O11" s="82"/>
      <c r="P11" s="82"/>
      <c r="Q11" s="82"/>
      <c r="R11" s="82"/>
      <c r="S11" s="82"/>
      <c r="T11" s="82"/>
      <c r="U11" s="82"/>
    </row>
    <row r="12" spans="1:21" x14ac:dyDescent="0.25">
      <c r="A12" s="102"/>
      <c r="B12" s="102" t="s">
        <v>86</v>
      </c>
      <c r="C12" s="102" t="s">
        <v>132</v>
      </c>
      <c r="D12" s="102" t="s">
        <v>136</v>
      </c>
      <c r="E12" s="82"/>
      <c r="F12" s="82"/>
      <c r="G12" s="82"/>
      <c r="H12" s="82"/>
      <c r="I12" s="82"/>
      <c r="J12" s="82"/>
      <c r="K12" s="82"/>
      <c r="L12" s="82"/>
      <c r="M12" s="82"/>
      <c r="N12" s="82"/>
      <c r="O12" s="82"/>
      <c r="P12" s="82"/>
      <c r="Q12" s="82"/>
      <c r="R12" s="82"/>
      <c r="S12" s="82"/>
      <c r="T12" s="82"/>
      <c r="U12" s="82"/>
    </row>
    <row r="13" spans="1:21" x14ac:dyDescent="0.25">
      <c r="A13" s="102"/>
      <c r="B13" s="102"/>
      <c r="C13" s="102" t="s">
        <v>131</v>
      </c>
      <c r="D13" s="102" t="s">
        <v>137</v>
      </c>
      <c r="E13" s="82"/>
      <c r="F13" s="82"/>
      <c r="G13" s="82"/>
      <c r="H13" s="82"/>
      <c r="I13" s="82"/>
      <c r="J13" s="82"/>
      <c r="K13" s="82"/>
      <c r="L13" s="82"/>
      <c r="M13" s="82"/>
      <c r="N13" s="82"/>
      <c r="O13" s="82"/>
      <c r="P13" s="82"/>
      <c r="Q13" s="82"/>
      <c r="R13" s="82"/>
      <c r="S13" s="82"/>
      <c r="T13" s="82"/>
      <c r="U13" s="82"/>
    </row>
    <row r="14" spans="1:21" x14ac:dyDescent="0.25">
      <c r="A14" s="102"/>
      <c r="B14" s="102"/>
      <c r="C14" s="102" t="s">
        <v>133</v>
      </c>
      <c r="D14" s="102" t="s">
        <v>138</v>
      </c>
      <c r="E14" s="82"/>
      <c r="F14" s="82"/>
      <c r="G14" s="82"/>
      <c r="H14" s="82"/>
      <c r="I14" s="82"/>
      <c r="J14" s="82"/>
      <c r="K14" s="82"/>
      <c r="L14" s="82"/>
      <c r="M14" s="82"/>
      <c r="N14" s="82"/>
      <c r="O14" s="82"/>
      <c r="P14" s="82"/>
      <c r="Q14" s="82"/>
      <c r="R14" s="82"/>
      <c r="S14" s="82"/>
      <c r="T14" s="82"/>
      <c r="U14" s="82"/>
    </row>
    <row r="15" spans="1:21" x14ac:dyDescent="0.25">
      <c r="A15" s="102"/>
      <c r="B15" s="102"/>
      <c r="C15" s="102" t="s">
        <v>134</v>
      </c>
      <c r="D15" s="102" t="s">
        <v>139</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85</v>
      </c>
      <c r="C209" s="29" t="s">
        <v>127</v>
      </c>
      <c r="D209" s="32" t="s">
        <v>85</v>
      </c>
      <c r="E209" s="32" t="s">
        <v>127</v>
      </c>
    </row>
    <row r="210" spans="1:8" ht="21" x14ac:dyDescent="0.35">
      <c r="A210" s="82"/>
      <c r="B210" s="30" t="s">
        <v>87</v>
      </c>
      <c r="C210" s="30" t="s">
        <v>56</v>
      </c>
      <c r="D210" t="s">
        <v>87</v>
      </c>
      <c r="F210" t="str">
        <f>IF(NOT(ISBLANK(D210)),D210,IF(NOT(ISBLANK(E210)),"     "&amp;E210,FALSE))</f>
        <v>Afectación Económica o presupuestal</v>
      </c>
      <c r="G210" t="s">
        <v>87</v>
      </c>
      <c r="H210" t="str">
        <f>IF(NOT(ISERROR(MATCH(G210,_xlfn.ANCHORARRAY(B221),0))),F223&amp;"Por favor no seleccionar los criterios de impacto",G210)</f>
        <v>❌Por favor no seleccionar los criterios de impacto</v>
      </c>
    </row>
    <row r="211" spans="1:8" ht="21" x14ac:dyDescent="0.35">
      <c r="A211" s="82"/>
      <c r="B211" s="30" t="s">
        <v>87</v>
      </c>
      <c r="C211" s="30" t="s">
        <v>90</v>
      </c>
      <c r="E211" t="s">
        <v>56</v>
      </c>
      <c r="F211" t="str">
        <f t="shared" ref="F211:F221" si="0">IF(NOT(ISBLANK(D211)),D211,IF(NOT(ISBLANK(E211)),"     "&amp;E211,FALSE))</f>
        <v xml:space="preserve">     Afectación menor a 10 SMLMV .</v>
      </c>
    </row>
    <row r="212" spans="1:8" ht="21" x14ac:dyDescent="0.35">
      <c r="A212" s="82"/>
      <c r="B212" s="30" t="s">
        <v>87</v>
      </c>
      <c r="C212" s="30" t="s">
        <v>91</v>
      </c>
      <c r="E212" t="s">
        <v>90</v>
      </c>
      <c r="F212" t="str">
        <f t="shared" si="0"/>
        <v xml:space="preserve">     Entre 10 y 50 SMLMV </v>
      </c>
    </row>
    <row r="213" spans="1:8" ht="21" x14ac:dyDescent="0.35">
      <c r="A213" s="82"/>
      <c r="B213" s="30" t="s">
        <v>87</v>
      </c>
      <c r="C213" s="30" t="s">
        <v>92</v>
      </c>
      <c r="E213" t="s">
        <v>91</v>
      </c>
      <c r="F213" t="str">
        <f t="shared" si="0"/>
        <v xml:space="preserve">     Entre 50 y 100 SMLMV </v>
      </c>
    </row>
    <row r="214" spans="1:8" ht="21" x14ac:dyDescent="0.35">
      <c r="A214" s="82"/>
      <c r="B214" s="30" t="s">
        <v>87</v>
      </c>
      <c r="C214" s="30" t="s">
        <v>93</v>
      </c>
      <c r="E214" t="s">
        <v>92</v>
      </c>
      <c r="F214" t="str">
        <f t="shared" si="0"/>
        <v xml:space="preserve">     Entre 100 y 500 SMLMV </v>
      </c>
    </row>
    <row r="215" spans="1:8" ht="21" x14ac:dyDescent="0.35">
      <c r="A215" s="82"/>
      <c r="B215" s="30" t="s">
        <v>55</v>
      </c>
      <c r="C215" s="30" t="s">
        <v>94</v>
      </c>
      <c r="E215" t="s">
        <v>93</v>
      </c>
      <c r="F215" t="str">
        <f t="shared" si="0"/>
        <v xml:space="preserve">     Mayor a 500 SMLMV </v>
      </c>
    </row>
    <row r="216" spans="1:8" ht="21" x14ac:dyDescent="0.35">
      <c r="A216" s="82"/>
      <c r="B216" s="30" t="s">
        <v>55</v>
      </c>
      <c r="C216" s="30" t="s">
        <v>95</v>
      </c>
      <c r="D216" t="s">
        <v>55</v>
      </c>
      <c r="F216" t="str">
        <f t="shared" si="0"/>
        <v>Pérdida Reputacional</v>
      </c>
    </row>
    <row r="217" spans="1:8" ht="21" x14ac:dyDescent="0.35">
      <c r="A217" s="82"/>
      <c r="B217" s="30" t="s">
        <v>55</v>
      </c>
      <c r="C217" s="30" t="s">
        <v>97</v>
      </c>
      <c r="E217" t="s">
        <v>94</v>
      </c>
      <c r="F217" t="str">
        <f t="shared" si="0"/>
        <v xml:space="preserve">     El riesgo afecta la imagen de alguna área de la organización</v>
      </c>
    </row>
    <row r="218" spans="1:8" ht="21" x14ac:dyDescent="0.35">
      <c r="A218" s="82"/>
      <c r="B218" s="30" t="s">
        <v>55</v>
      </c>
      <c r="C218" s="30" t="s">
        <v>96</v>
      </c>
      <c r="E218" t="s">
        <v>95</v>
      </c>
      <c r="F218" t="str">
        <f t="shared" si="0"/>
        <v xml:space="preserve">     El riesgo afecta la imagen de la entidad internamente, de conocimiento general, nivel interno, de junta dircetiva y accionistas y/o de provedores</v>
      </c>
    </row>
    <row r="219" spans="1:8" ht="21" x14ac:dyDescent="0.35">
      <c r="A219" s="82"/>
      <c r="B219" s="30" t="s">
        <v>55</v>
      </c>
      <c r="C219" s="30" t="s">
        <v>110</v>
      </c>
      <c r="E219" t="s">
        <v>97</v>
      </c>
      <c r="F219" t="str">
        <f t="shared" si="0"/>
        <v xml:space="preserve">     El riesgo afecta la imagen de la entidad con algunos usuarios de relevancia frente al logro de los objetivos</v>
      </c>
    </row>
    <row r="220" spans="1:8" x14ac:dyDescent="0.25">
      <c r="A220" s="82"/>
      <c r="B220" s="31"/>
      <c r="C220" s="31"/>
      <c r="E220" t="s">
        <v>96</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110</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129</v>
      </c>
    </row>
    <row r="224" spans="1:8" x14ac:dyDescent="0.25">
      <c r="B224" s="21"/>
      <c r="C224" s="21"/>
      <c r="F224" s="34" t="s">
        <v>130</v>
      </c>
    </row>
    <row r="225" spans="2:4" x14ac:dyDescent="0.25">
      <c r="B225" s="21"/>
      <c r="C225" s="21"/>
    </row>
    <row r="226" spans="2:4" x14ac:dyDescent="0.25">
      <c r="B226" s="21"/>
      <c r="C226" s="21"/>
    </row>
    <row r="227" spans="2:4" x14ac:dyDescent="0.25">
      <c r="B227" s="21" t="s">
        <v>199</v>
      </c>
      <c r="C227" s="21"/>
      <c r="D227" s="21"/>
    </row>
    <row r="228" spans="2:4" x14ac:dyDescent="0.25">
      <c r="B228" t="s">
        <v>85</v>
      </c>
      <c r="C228" s="21" t="s">
        <v>127</v>
      </c>
      <c r="D228" s="32" t="s">
        <v>200</v>
      </c>
    </row>
    <row r="229" spans="2:4" x14ac:dyDescent="0.25">
      <c r="B229" s="145" t="s">
        <v>202</v>
      </c>
      <c r="C229" s="21" t="s">
        <v>192</v>
      </c>
      <c r="D229" s="143" t="s">
        <v>202</v>
      </c>
    </row>
    <row r="230" spans="2:4" x14ac:dyDescent="0.25">
      <c r="B230" s="145" t="s">
        <v>202</v>
      </c>
      <c r="C230" s="21" t="s">
        <v>193</v>
      </c>
      <c r="D230" s="144" t="s">
        <v>192</v>
      </c>
    </row>
    <row r="231" spans="2:4" x14ac:dyDescent="0.25">
      <c r="B231" s="145" t="s">
        <v>202</v>
      </c>
      <c r="C231" s="21" t="s">
        <v>194</v>
      </c>
      <c r="D231" s="144" t="s">
        <v>193</v>
      </c>
    </row>
    <row r="232" spans="2:4" x14ac:dyDescent="0.25">
      <c r="B232" s="145" t="s">
        <v>203</v>
      </c>
      <c r="C232" s="21" t="s">
        <v>195</v>
      </c>
      <c r="D232" s="144" t="s">
        <v>194</v>
      </c>
    </row>
    <row r="233" spans="2:4" x14ac:dyDescent="0.25">
      <c r="B233" s="145" t="s">
        <v>203</v>
      </c>
      <c r="C233" s="21" t="s">
        <v>196</v>
      </c>
      <c r="D233" s="143" t="s">
        <v>203</v>
      </c>
    </row>
    <row r="234" spans="2:4" x14ac:dyDescent="0.25">
      <c r="B234" s="145" t="s">
        <v>203</v>
      </c>
      <c r="C234" s="21" t="s">
        <v>197</v>
      </c>
      <c r="D234" s="144" t="s">
        <v>195</v>
      </c>
    </row>
    <row r="235" spans="2:4" x14ac:dyDescent="0.25">
      <c r="B235" s="145" t="s">
        <v>203</v>
      </c>
      <c r="C235" s="21" t="s">
        <v>198</v>
      </c>
      <c r="D235" s="144" t="s">
        <v>196</v>
      </c>
    </row>
    <row r="236" spans="2:4" x14ac:dyDescent="0.25">
      <c r="D236" s="144" t="s">
        <v>197</v>
      </c>
    </row>
    <row r="237" spans="2:4" x14ac:dyDescent="0.25">
      <c r="D237" s="144" t="s">
        <v>198</v>
      </c>
    </row>
    <row r="238" spans="2:4" x14ac:dyDescent="0.25">
      <c r="D238" s="143" t="s">
        <v>201</v>
      </c>
    </row>
  </sheetData>
  <mergeCells count="1">
    <mergeCell ref="B1:D1"/>
  </mergeCells>
  <dataValidations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F4" sqref="F4:F6"/>
    </sheetView>
  </sheetViews>
  <sheetFormatPr baseColWidth="10" defaultColWidth="14.42578125" defaultRowHeight="12.75" x14ac:dyDescent="0.2"/>
  <cols>
    <col min="1" max="2" width="14.42578125" style="87"/>
    <col min="3" max="3" width="17" style="87" customWidth="1"/>
    <col min="4" max="4" width="14.42578125" style="87"/>
    <col min="5" max="5" width="46" style="87" customWidth="1"/>
    <col min="6" max="16384" width="14.42578125" style="87"/>
  </cols>
  <sheetData>
    <row r="1" spans="2:6" ht="24" customHeight="1" thickBot="1" x14ac:dyDescent="0.25">
      <c r="B1" s="419" t="s">
        <v>204</v>
      </c>
      <c r="C1" s="420"/>
      <c r="D1" s="420"/>
      <c r="E1" s="420"/>
      <c r="F1" s="421"/>
    </row>
    <row r="2" spans="2:6" ht="16.5" thickBot="1" x14ac:dyDescent="0.3">
      <c r="B2" s="88"/>
      <c r="C2" s="88"/>
      <c r="D2" s="88"/>
      <c r="E2" s="88"/>
      <c r="F2" s="88"/>
    </row>
    <row r="3" spans="2:6" ht="16.5" thickBot="1" x14ac:dyDescent="0.25">
      <c r="B3" s="423" t="s">
        <v>62</v>
      </c>
      <c r="C3" s="424"/>
      <c r="D3" s="424"/>
      <c r="E3" s="100" t="s">
        <v>63</v>
      </c>
      <c r="F3" s="101" t="s">
        <v>64</v>
      </c>
    </row>
    <row r="4" spans="2:6" ht="31.5" x14ac:dyDescent="0.2">
      <c r="B4" s="425" t="s">
        <v>65</v>
      </c>
      <c r="C4" s="427" t="s">
        <v>12</v>
      </c>
      <c r="D4" s="89" t="s">
        <v>13</v>
      </c>
      <c r="E4" s="90" t="s">
        <v>66</v>
      </c>
      <c r="F4" s="91">
        <v>0.25</v>
      </c>
    </row>
    <row r="5" spans="2:6" ht="47.25" x14ac:dyDescent="0.2">
      <c r="B5" s="426"/>
      <c r="C5" s="428"/>
      <c r="D5" s="92" t="s">
        <v>14</v>
      </c>
      <c r="E5" s="93" t="s">
        <v>67</v>
      </c>
      <c r="F5" s="94">
        <v>0.15</v>
      </c>
    </row>
    <row r="6" spans="2:6" ht="47.25" x14ac:dyDescent="0.2">
      <c r="B6" s="426"/>
      <c r="C6" s="428"/>
      <c r="D6" s="92" t="s">
        <v>15</v>
      </c>
      <c r="E6" s="93" t="s">
        <v>68</v>
      </c>
      <c r="F6" s="94">
        <v>0.1</v>
      </c>
    </row>
    <row r="7" spans="2:6" ht="63" x14ac:dyDescent="0.2">
      <c r="B7" s="426"/>
      <c r="C7" s="428" t="s">
        <v>16</v>
      </c>
      <c r="D7" s="92" t="s">
        <v>9</v>
      </c>
      <c r="E7" s="93" t="s">
        <v>69</v>
      </c>
      <c r="F7" s="94">
        <v>0.25</v>
      </c>
    </row>
    <row r="8" spans="2:6" ht="31.5" x14ac:dyDescent="0.2">
      <c r="B8" s="426"/>
      <c r="C8" s="428"/>
      <c r="D8" s="92" t="s">
        <v>8</v>
      </c>
      <c r="E8" s="93" t="s">
        <v>70</v>
      </c>
      <c r="F8" s="94">
        <v>0.15</v>
      </c>
    </row>
    <row r="9" spans="2:6" ht="47.25" x14ac:dyDescent="0.2">
      <c r="B9" s="426" t="s">
        <v>144</v>
      </c>
      <c r="C9" s="428" t="s">
        <v>17</v>
      </c>
      <c r="D9" s="92" t="s">
        <v>18</v>
      </c>
      <c r="E9" s="93" t="s">
        <v>71</v>
      </c>
      <c r="F9" s="95" t="s">
        <v>72</v>
      </c>
    </row>
    <row r="10" spans="2:6" ht="63" x14ac:dyDescent="0.2">
      <c r="B10" s="426"/>
      <c r="C10" s="428"/>
      <c r="D10" s="92" t="s">
        <v>19</v>
      </c>
      <c r="E10" s="93" t="s">
        <v>73</v>
      </c>
      <c r="F10" s="95" t="s">
        <v>72</v>
      </c>
    </row>
    <row r="11" spans="2:6" ht="47.25" x14ac:dyDescent="0.2">
      <c r="B11" s="426"/>
      <c r="C11" s="428" t="s">
        <v>20</v>
      </c>
      <c r="D11" s="92" t="s">
        <v>21</v>
      </c>
      <c r="E11" s="93" t="s">
        <v>74</v>
      </c>
      <c r="F11" s="95" t="s">
        <v>72</v>
      </c>
    </row>
    <row r="12" spans="2:6" ht="47.25" x14ac:dyDescent="0.2">
      <c r="B12" s="426"/>
      <c r="C12" s="428"/>
      <c r="D12" s="92" t="s">
        <v>22</v>
      </c>
      <c r="E12" s="93" t="s">
        <v>75</v>
      </c>
      <c r="F12" s="95" t="s">
        <v>72</v>
      </c>
    </row>
    <row r="13" spans="2:6" ht="31.5" x14ac:dyDescent="0.2">
      <c r="B13" s="426"/>
      <c r="C13" s="428" t="s">
        <v>23</v>
      </c>
      <c r="D13" s="92" t="s">
        <v>111</v>
      </c>
      <c r="E13" s="93" t="s">
        <v>114</v>
      </c>
      <c r="F13" s="95" t="s">
        <v>72</v>
      </c>
    </row>
    <row r="14" spans="2:6" ht="32.25" thickBot="1" x14ac:dyDescent="0.25">
      <c r="B14" s="429"/>
      <c r="C14" s="430"/>
      <c r="D14" s="96" t="s">
        <v>112</v>
      </c>
      <c r="E14" s="97" t="s">
        <v>113</v>
      </c>
      <c r="F14" s="98" t="s">
        <v>72</v>
      </c>
    </row>
    <row r="15" spans="2:6" ht="49.7" customHeight="1" x14ac:dyDescent="0.2">
      <c r="B15" s="422" t="s">
        <v>141</v>
      </c>
      <c r="C15" s="422"/>
      <c r="D15" s="422"/>
      <c r="E15" s="422"/>
      <c r="F15" s="422"/>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E51A-1A16-4614-BD08-7180DE3B577A}">
  <dimension ref="A2:A4"/>
  <sheetViews>
    <sheetView tabSelected="1" workbookViewId="0">
      <selection activeCell="A4" sqref="A4"/>
    </sheetView>
  </sheetViews>
  <sheetFormatPr baseColWidth="10" defaultRowHeight="15" x14ac:dyDescent="0.25"/>
  <sheetData>
    <row r="2" spans="1:1" x14ac:dyDescent="0.25">
      <c r="A2" s="177" t="s">
        <v>309</v>
      </c>
    </row>
    <row r="4" spans="1:1" x14ac:dyDescent="0.25">
      <c r="A4" s="436" t="s">
        <v>312</v>
      </c>
    </row>
  </sheetData>
  <hyperlinks>
    <hyperlink ref="A2" r:id="rId1" xr:uid="{976FBFA7-EC98-420B-9415-BEF4B0914E2B}"/>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D1" zoomScaleNormal="100" workbookViewId="0">
      <selection activeCell="D27" sqref="D27"/>
    </sheetView>
  </sheetViews>
  <sheetFormatPr baseColWidth="10" defaultRowHeight="15" x14ac:dyDescent="0.25"/>
  <cols>
    <col min="1" max="1" width="78.42578125" customWidth="1"/>
    <col min="3" max="3" width="32" bestFit="1" customWidth="1"/>
    <col min="4" max="4" width="119.42578125" bestFit="1" customWidth="1"/>
    <col min="5" max="5" width="81" customWidth="1"/>
  </cols>
  <sheetData>
    <row r="1" spans="1:5" ht="15.75" thickBot="1" x14ac:dyDescent="0.3">
      <c r="A1" s="140" t="s">
        <v>174</v>
      </c>
      <c r="D1" s="431" t="s">
        <v>175</v>
      </c>
      <c r="E1" s="432"/>
    </row>
    <row r="2" spans="1:5" x14ac:dyDescent="0.25">
      <c r="A2" s="150" t="s">
        <v>246</v>
      </c>
      <c r="D2" s="433" t="s">
        <v>176</v>
      </c>
      <c r="E2" s="158" t="s">
        <v>266</v>
      </c>
    </row>
    <row r="3" spans="1:5" x14ac:dyDescent="0.25">
      <c r="A3" s="151" t="s">
        <v>247</v>
      </c>
      <c r="D3" s="434"/>
      <c r="E3" s="159" t="s">
        <v>267</v>
      </c>
    </row>
    <row r="4" spans="1:5" x14ac:dyDescent="0.25">
      <c r="A4" s="152" t="s">
        <v>248</v>
      </c>
      <c r="D4" s="434"/>
      <c r="E4" s="159" t="s">
        <v>268</v>
      </c>
    </row>
    <row r="5" spans="1:5" x14ac:dyDescent="0.25">
      <c r="A5" s="153" t="s">
        <v>249</v>
      </c>
      <c r="D5" s="435"/>
      <c r="E5" s="159" t="s">
        <v>269</v>
      </c>
    </row>
    <row r="6" spans="1:5" ht="30" x14ac:dyDescent="0.25">
      <c r="A6" s="151" t="s">
        <v>250</v>
      </c>
      <c r="D6" s="433" t="s">
        <v>177</v>
      </c>
      <c r="E6" s="159" t="s">
        <v>243</v>
      </c>
    </row>
    <row r="7" spans="1:5" ht="30" x14ac:dyDescent="0.25">
      <c r="A7" s="151" t="s">
        <v>251</v>
      </c>
      <c r="D7" s="434"/>
      <c r="E7" s="159" t="s">
        <v>270</v>
      </c>
    </row>
    <row r="8" spans="1:5" x14ac:dyDescent="0.25">
      <c r="A8" s="154" t="s">
        <v>252</v>
      </c>
      <c r="D8" s="434"/>
      <c r="E8" s="159" t="s">
        <v>242</v>
      </c>
    </row>
    <row r="9" spans="1:5" x14ac:dyDescent="0.25">
      <c r="A9" s="154" t="s">
        <v>253</v>
      </c>
      <c r="D9" s="433" t="s">
        <v>178</v>
      </c>
      <c r="E9" s="159" t="s">
        <v>271</v>
      </c>
    </row>
    <row r="10" spans="1:5" x14ac:dyDescent="0.25">
      <c r="A10" s="155" t="s">
        <v>254</v>
      </c>
      <c r="D10" s="434"/>
      <c r="E10" s="159" t="s">
        <v>272</v>
      </c>
    </row>
    <row r="11" spans="1:5" x14ac:dyDescent="0.25">
      <c r="A11" s="154" t="s">
        <v>255</v>
      </c>
      <c r="D11" s="433" t="s">
        <v>179</v>
      </c>
      <c r="E11" s="159" t="s">
        <v>244</v>
      </c>
    </row>
    <row r="12" spans="1:5" x14ac:dyDescent="0.25">
      <c r="A12" s="156" t="s">
        <v>256</v>
      </c>
      <c r="D12" s="434"/>
      <c r="E12" s="159" t="s">
        <v>273</v>
      </c>
    </row>
    <row r="13" spans="1:5" x14ac:dyDescent="0.25">
      <c r="A13" s="151" t="s">
        <v>257</v>
      </c>
      <c r="D13" s="435"/>
      <c r="E13" s="159" t="s">
        <v>274</v>
      </c>
    </row>
    <row r="14" spans="1:5" ht="30" x14ac:dyDescent="0.25">
      <c r="A14" s="154" t="s">
        <v>258</v>
      </c>
      <c r="E14" s="159" t="s">
        <v>275</v>
      </c>
    </row>
    <row r="15" spans="1:5" x14ac:dyDescent="0.25">
      <c r="A15" s="151" t="s">
        <v>259</v>
      </c>
      <c r="D15" s="141" t="s">
        <v>183</v>
      </c>
      <c r="E15" s="159" t="s">
        <v>245</v>
      </c>
    </row>
    <row r="16" spans="1:5" x14ac:dyDescent="0.25">
      <c r="A16" s="151" t="s">
        <v>260</v>
      </c>
      <c r="D16" s="142" t="s">
        <v>184</v>
      </c>
      <c r="E16" s="159" t="s">
        <v>239</v>
      </c>
    </row>
    <row r="17" spans="1:7" x14ac:dyDescent="0.25">
      <c r="A17" s="156" t="s">
        <v>261</v>
      </c>
      <c r="D17" s="142" t="s">
        <v>185</v>
      </c>
      <c r="E17" s="159" t="s">
        <v>240</v>
      </c>
    </row>
    <row r="18" spans="1:7" x14ac:dyDescent="0.25">
      <c r="A18" s="153" t="s">
        <v>262</v>
      </c>
      <c r="D18" s="142" t="s">
        <v>186</v>
      </c>
      <c r="E18" s="159" t="s">
        <v>238</v>
      </c>
    </row>
    <row r="19" spans="1:7" ht="30" x14ac:dyDescent="0.25">
      <c r="A19" s="154" t="s">
        <v>263</v>
      </c>
      <c r="D19" s="142" t="s">
        <v>187</v>
      </c>
      <c r="E19" s="159" t="s">
        <v>276</v>
      </c>
    </row>
    <row r="20" spans="1:7" x14ac:dyDescent="0.25">
      <c r="A20" s="155" t="s">
        <v>245</v>
      </c>
      <c r="D20" s="142" t="s">
        <v>188</v>
      </c>
      <c r="E20" s="159" t="s">
        <v>241</v>
      </c>
    </row>
    <row r="21" spans="1:7" x14ac:dyDescent="0.25">
      <c r="A21" s="151" t="s">
        <v>264</v>
      </c>
      <c r="D21" s="142" t="s">
        <v>189</v>
      </c>
      <c r="E21" s="159" t="s">
        <v>277</v>
      </c>
    </row>
    <row r="22" spans="1:7" ht="15.75" thickBot="1" x14ac:dyDescent="0.3">
      <c r="A22" s="157" t="s">
        <v>265</v>
      </c>
      <c r="D22" s="142" t="s">
        <v>190</v>
      </c>
      <c r="E22" s="159" t="s">
        <v>278</v>
      </c>
    </row>
    <row r="23" spans="1:7" x14ac:dyDescent="0.25">
      <c r="A23" s="146"/>
      <c r="E23" s="159" t="s">
        <v>279</v>
      </c>
    </row>
    <row r="24" spans="1:7" x14ac:dyDescent="0.25">
      <c r="A24" s="141" t="s">
        <v>191</v>
      </c>
      <c r="E24" s="159" t="s">
        <v>280</v>
      </c>
    </row>
    <row r="25" spans="1:7" ht="20.25" x14ac:dyDescent="0.25">
      <c r="A25" s="142" t="s">
        <v>184</v>
      </c>
      <c r="B25" s="29"/>
      <c r="E25" s="159" t="s">
        <v>281</v>
      </c>
    </row>
    <row r="26" spans="1:7" ht="21" x14ac:dyDescent="0.35">
      <c r="A26" s="142" t="s">
        <v>185</v>
      </c>
      <c r="B26" s="30"/>
      <c r="E26" s="159" t="s">
        <v>282</v>
      </c>
      <c r="F26" t="s">
        <v>87</v>
      </c>
      <c r="G26" t="str">
        <f>IF(NOT(ISERROR(MATCH(F26,_xlfn.ANCHORARRAY(A37),0))),E39&amp;"Por favor no seleccionar los criterios de impacto",F26)</f>
        <v>Afectación Económica o presupuestal</v>
      </c>
    </row>
    <row r="27" spans="1:7" ht="21.75" thickBot="1" x14ac:dyDescent="0.4">
      <c r="A27" s="142" t="s">
        <v>186</v>
      </c>
      <c r="B27" s="30"/>
      <c r="E27" s="160" t="s">
        <v>283</v>
      </c>
    </row>
    <row r="28" spans="1:7" ht="21" x14ac:dyDescent="0.35">
      <c r="A28" s="142" t="s">
        <v>187</v>
      </c>
      <c r="B28" s="30"/>
    </row>
    <row r="29" spans="1:7" ht="21" x14ac:dyDescent="0.35">
      <c r="A29" s="142" t="s">
        <v>188</v>
      </c>
      <c r="B29" s="30"/>
    </row>
    <row r="30" spans="1:7" ht="21" x14ac:dyDescent="0.35">
      <c r="A30" s="142" t="s">
        <v>189</v>
      </c>
      <c r="B30" s="30"/>
    </row>
    <row r="31" spans="1:7" ht="21" x14ac:dyDescent="0.35">
      <c r="A31" s="142" t="s">
        <v>190</v>
      </c>
      <c r="B31" s="30"/>
    </row>
    <row r="32" spans="1:7" ht="21" x14ac:dyDescent="0.35">
      <c r="A32" s="30"/>
      <c r="B32" s="30"/>
    </row>
    <row r="33" spans="1:2" ht="21" x14ac:dyDescent="0.35">
      <c r="A33" s="30"/>
      <c r="B33" s="30"/>
    </row>
    <row r="34" spans="1:2" ht="21" x14ac:dyDescent="0.35">
      <c r="A34" s="30"/>
      <c r="B34" s="30"/>
    </row>
    <row r="35" spans="1:2" ht="21" x14ac:dyDescent="0.35">
      <c r="A35" s="30"/>
      <c r="B35" s="30"/>
    </row>
    <row r="36" spans="1:2" x14ac:dyDescent="0.25">
      <c r="A36" s="31"/>
      <c r="B36" s="31"/>
    </row>
  </sheetData>
  <mergeCells count="5">
    <mergeCell ref="D1:E1"/>
    <mergeCell ref="D2:D5"/>
    <mergeCell ref="D6:D8"/>
    <mergeCell ref="D9:D10"/>
    <mergeCell ref="D11:D13"/>
  </mergeCells>
  <dataValidations count="1">
    <dataValidation type="list" allowBlank="1" showInputMessage="1" showErrorMessage="1" sqref="F26" xr:uid="{00000000-0002-0000-0700-000000000000}">
      <formula1>$F$210:$F$221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Mapa final</vt:lpstr>
      <vt:lpstr>Matriz Calor Inherente</vt:lpstr>
      <vt:lpstr>Matriz Calor Residual</vt:lpstr>
      <vt:lpstr>Tabla probabilidad</vt:lpstr>
      <vt:lpstr>Tabla Impacto</vt:lpstr>
      <vt:lpstr>Tabla Valoración controles</vt:lpstr>
      <vt:lpstr>Hoja2</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Wilma Bejarano Gaitan</cp:lastModifiedBy>
  <cp:lastPrinted>2020-05-13T01:12:22Z</cp:lastPrinted>
  <dcterms:created xsi:type="dcterms:W3CDTF">2020-03-24T23:12:47Z</dcterms:created>
  <dcterms:modified xsi:type="dcterms:W3CDTF">2023-10-12T19:19:04Z</dcterms:modified>
</cp:coreProperties>
</file>